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0730" windowHeight="11040" tabRatio="848" activeTab="2"/>
  </bookViews>
  <sheets>
    <sheet name="Cadastro - Receitas" sheetId="1" r:id="rId1"/>
    <sheet name="Cadastro de BC - Servidores" sheetId="2" r:id="rId2"/>
    <sheet name="RESUMO-CONTROLE INTERNO" sheetId="3" r:id="rId3"/>
    <sheet name="Folha Efetivos" sheetId="4" r:id="rId4"/>
    <sheet name="Folha Cedidos" sheetId="5" r:id="rId5"/>
    <sheet name="Folha Comissionados" sheetId="6" r:id="rId6"/>
    <sheet name="Tabelas INSS e IR" sheetId="7" r:id="rId7"/>
    <sheet name="Resumo de INSS para a GECONF" sheetId="8" r:id="rId8"/>
    <sheet name="SEFIP X PLANILHA" sheetId="9" r:id="rId9"/>
  </sheets>
  <definedNames>
    <definedName name="_xlnm.Print_Area" localSheetId="4">'Folha Cedidos'!$A$1:$N$36</definedName>
    <definedName name="Excel_BuiltIn__FilterDatabase">'Cadastro de BC - Servidores'!$A$13:$AE$132</definedName>
  </definedNames>
  <calcPr calcId="145621"/>
</workbook>
</file>

<file path=xl/calcChain.xml><?xml version="1.0" encoding="utf-8"?>
<calcChain xmlns="http://schemas.openxmlformats.org/spreadsheetml/2006/main">
  <c r="R28" i="8" l="1"/>
  <c r="O28" i="8"/>
  <c r="K28" i="8"/>
  <c r="H28" i="8"/>
  <c r="D28" i="8"/>
  <c r="C28" i="8"/>
  <c r="N39" i="6"/>
  <c r="L39" i="6"/>
  <c r="K39" i="6"/>
  <c r="G39" i="6"/>
  <c r="F39" i="6"/>
  <c r="E39" i="6"/>
  <c r="D39" i="6"/>
  <c r="C39" i="6"/>
  <c r="B39" i="6"/>
  <c r="Q37" i="2" l="1"/>
  <c r="R37" i="2"/>
  <c r="W37" i="2" s="1"/>
  <c r="T37" i="2"/>
  <c r="Q8" i="1"/>
  <c r="S3" i="7" l="1"/>
  <c r="F33" i="6" l="1"/>
  <c r="E33" i="6"/>
  <c r="D33" i="6" l="1"/>
  <c r="C33" i="6"/>
  <c r="L33" i="6"/>
  <c r="K33" i="6"/>
  <c r="G33" i="6"/>
  <c r="B33" i="6"/>
  <c r="G25" i="6"/>
  <c r="S8" i="7" l="1"/>
  <c r="Q8" i="7"/>
  <c r="Q4" i="7"/>
  <c r="L124" i="2" l="1"/>
  <c r="D8" i="7"/>
  <c r="I10" i="2"/>
  <c r="O104" i="2" l="1"/>
  <c r="M104" i="2"/>
  <c r="M37" i="2"/>
  <c r="O37" i="2"/>
  <c r="M110" i="2"/>
  <c r="M49" i="2"/>
  <c r="O40" i="2"/>
  <c r="H33" i="6" s="1"/>
  <c r="M40" i="2"/>
  <c r="O109" i="2"/>
  <c r="M109" i="2"/>
  <c r="O110" i="2"/>
  <c r="O26" i="5"/>
  <c r="O27" i="5"/>
  <c r="O28" i="5"/>
  <c r="O29" i="5"/>
  <c r="O30" i="5"/>
  <c r="O31" i="5"/>
  <c r="O32" i="5"/>
  <c r="O33" i="5"/>
  <c r="P37" i="2" l="1"/>
  <c r="X37" i="2"/>
  <c r="Y37" i="2" s="1"/>
  <c r="K25" i="5"/>
  <c r="G25" i="5"/>
  <c r="F25" i="5"/>
  <c r="E25" i="5"/>
  <c r="D25" i="5"/>
  <c r="C25" i="5"/>
  <c r="B25" i="5"/>
  <c r="F24" i="5" l="1"/>
  <c r="K24" i="5" l="1"/>
  <c r="G24" i="5"/>
  <c r="E24" i="5"/>
  <c r="D24" i="5"/>
  <c r="C24" i="5"/>
  <c r="B24" i="5"/>
  <c r="C24" i="8" l="1"/>
  <c r="D24" i="8"/>
  <c r="R24" i="8"/>
  <c r="R34" i="2" l="1"/>
  <c r="R35" i="2"/>
  <c r="R36" i="2"/>
  <c r="R38" i="2"/>
  <c r="R39" i="2"/>
  <c r="R41" i="2"/>
  <c r="R44" i="2"/>
  <c r="R46" i="2"/>
  <c r="R47" i="2"/>
  <c r="R49" i="2"/>
  <c r="R51" i="2"/>
  <c r="R53" i="2"/>
  <c r="R54" i="2"/>
  <c r="R55" i="2"/>
  <c r="R56" i="2"/>
  <c r="R57" i="2"/>
  <c r="R60" i="2"/>
  <c r="R61" i="2"/>
  <c r="R62" i="2"/>
  <c r="R63" i="2"/>
  <c r="R64" i="2"/>
  <c r="R65" i="2"/>
  <c r="R66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C25" i="8" l="1"/>
  <c r="D25" i="8"/>
  <c r="R25" i="8"/>
  <c r="B36" i="6"/>
  <c r="C36" i="6"/>
  <c r="D36" i="6"/>
  <c r="E36" i="6"/>
  <c r="F36" i="6"/>
  <c r="G36" i="6"/>
  <c r="K36" i="6"/>
  <c r="L36" i="6"/>
  <c r="N36" i="6"/>
  <c r="C35" i="6"/>
  <c r="D35" i="6"/>
  <c r="E35" i="6"/>
  <c r="F35" i="6"/>
  <c r="G35" i="6"/>
  <c r="K35" i="6"/>
  <c r="L35" i="6"/>
  <c r="N35" i="6"/>
  <c r="R32" i="8" l="1"/>
  <c r="D32" i="8"/>
  <c r="C32" i="8"/>
  <c r="N43" i="6"/>
  <c r="L43" i="6"/>
  <c r="K43" i="6"/>
  <c r="K42" i="6"/>
  <c r="L42" i="6"/>
  <c r="N42" i="6"/>
  <c r="G43" i="6"/>
  <c r="F43" i="6"/>
  <c r="E43" i="6"/>
  <c r="D43" i="6"/>
  <c r="C43" i="6"/>
  <c r="B43" i="6"/>
  <c r="C29" i="8" l="1"/>
  <c r="D29" i="8"/>
  <c r="R29" i="8"/>
  <c r="B40" i="6"/>
  <c r="C40" i="6"/>
  <c r="D40" i="6"/>
  <c r="E40" i="6"/>
  <c r="F40" i="6"/>
  <c r="G40" i="6"/>
  <c r="K40" i="6"/>
  <c r="L40" i="6"/>
  <c r="N40" i="6"/>
  <c r="B8" i="7" l="1"/>
  <c r="H8" i="7"/>
  <c r="B7" i="7"/>
  <c r="B6" i="7"/>
  <c r="B5" i="7"/>
  <c r="R15" i="2" l="1"/>
  <c r="U15" i="2" s="1"/>
  <c r="R27" i="2"/>
  <c r="R99" i="2"/>
  <c r="R45" i="2"/>
  <c r="R83" i="2"/>
  <c r="R16" i="2"/>
  <c r="R28" i="2"/>
  <c r="R40" i="2"/>
  <c r="H24" i="8" s="1"/>
  <c r="R52" i="2"/>
  <c r="R101" i="2"/>
  <c r="R106" i="2"/>
  <c r="H42" i="8" s="1"/>
  <c r="R17" i="2"/>
  <c r="U17" i="2" s="1"/>
  <c r="R29" i="2"/>
  <c r="R102" i="2"/>
  <c r="R25" i="2"/>
  <c r="R18" i="2"/>
  <c r="R30" i="2"/>
  <c r="R42" i="2"/>
  <c r="R103" i="2"/>
  <c r="U103" i="2" s="1"/>
  <c r="R50" i="2"/>
  <c r="R19" i="2"/>
  <c r="R31" i="2"/>
  <c r="R43" i="2"/>
  <c r="U43" i="2" s="1"/>
  <c r="R67" i="2"/>
  <c r="R104" i="2"/>
  <c r="R58" i="2"/>
  <c r="R108" i="2"/>
  <c r="R26" i="2"/>
  <c r="R20" i="2"/>
  <c r="R32" i="2"/>
  <c r="R105" i="2"/>
  <c r="R107" i="2"/>
  <c r="U107" i="2" s="1"/>
  <c r="R98" i="2"/>
  <c r="U98" i="2" s="1"/>
  <c r="R21" i="2"/>
  <c r="R33" i="2"/>
  <c r="R22" i="2"/>
  <c r="R23" i="2"/>
  <c r="R59" i="2"/>
  <c r="R24" i="2"/>
  <c r="R48" i="2"/>
  <c r="C33" i="8"/>
  <c r="D33" i="8"/>
  <c r="R33" i="8"/>
  <c r="C31" i="8"/>
  <c r="D31" i="8"/>
  <c r="R31" i="8"/>
  <c r="C30" i="8"/>
  <c r="B42" i="6"/>
  <c r="C42" i="6"/>
  <c r="D42" i="6"/>
  <c r="E42" i="6"/>
  <c r="F42" i="6"/>
  <c r="G42" i="6"/>
  <c r="B44" i="6"/>
  <c r="C44" i="6"/>
  <c r="D44" i="6"/>
  <c r="E44" i="6"/>
  <c r="F44" i="6"/>
  <c r="G44" i="6"/>
  <c r="K44" i="6"/>
  <c r="L44" i="6"/>
  <c r="N44" i="6"/>
  <c r="U83" i="2"/>
  <c r="U58" i="2"/>
  <c r="U102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Q57" i="2"/>
  <c r="W35" i="2"/>
  <c r="W39" i="2"/>
  <c r="W47" i="2"/>
  <c r="W51" i="2"/>
  <c r="W55" i="2"/>
  <c r="W63" i="2"/>
  <c r="W71" i="2"/>
  <c r="W75" i="2"/>
  <c r="W79" i="2"/>
  <c r="W87" i="2"/>
  <c r="W91" i="2"/>
  <c r="W95" i="2"/>
  <c r="C17" i="9"/>
  <c r="C18" i="9" s="1"/>
  <c r="C12" i="9"/>
  <c r="C11" i="9"/>
  <c r="C6" i="9"/>
  <c r="C4" i="9" s="1"/>
  <c r="Q46" i="8"/>
  <c r="R44" i="8"/>
  <c r="D44" i="8"/>
  <c r="C44" i="8"/>
  <c r="R43" i="8"/>
  <c r="D43" i="8"/>
  <c r="C43" i="8"/>
  <c r="R42" i="8"/>
  <c r="D42" i="8"/>
  <c r="C42" i="8"/>
  <c r="R41" i="8"/>
  <c r="D41" i="8"/>
  <c r="C41" i="8"/>
  <c r="R40" i="8"/>
  <c r="D40" i="8"/>
  <c r="C40" i="8"/>
  <c r="R39" i="8"/>
  <c r="D39" i="8"/>
  <c r="C39" i="8"/>
  <c r="R38" i="8"/>
  <c r="D38" i="8"/>
  <c r="C38" i="8"/>
  <c r="R37" i="8"/>
  <c r="D37" i="8"/>
  <c r="C37" i="8"/>
  <c r="R36" i="8"/>
  <c r="D36" i="8"/>
  <c r="C36" i="8"/>
  <c r="R35" i="8"/>
  <c r="D35" i="8"/>
  <c r="C35" i="8"/>
  <c r="R34" i="8"/>
  <c r="D34" i="8"/>
  <c r="C34" i="8"/>
  <c r="R30" i="8"/>
  <c r="D30" i="8"/>
  <c r="R27" i="8"/>
  <c r="D27" i="8"/>
  <c r="C27" i="8"/>
  <c r="R26" i="8"/>
  <c r="D26" i="8"/>
  <c r="C26" i="8"/>
  <c r="R23" i="8"/>
  <c r="D23" i="8"/>
  <c r="C23" i="8"/>
  <c r="R22" i="8"/>
  <c r="D22" i="8"/>
  <c r="C22" i="8"/>
  <c r="R21" i="8"/>
  <c r="D21" i="8"/>
  <c r="C21" i="8"/>
  <c r="R20" i="8"/>
  <c r="D20" i="8"/>
  <c r="C20" i="8"/>
  <c r="R19" i="8"/>
  <c r="D19" i="8"/>
  <c r="C19" i="8"/>
  <c r="R18" i="8"/>
  <c r="D18" i="8"/>
  <c r="C18" i="8"/>
  <c r="R17" i="8"/>
  <c r="D17" i="8"/>
  <c r="C17" i="8"/>
  <c r="R16" i="8"/>
  <c r="D16" i="8"/>
  <c r="C16" i="8"/>
  <c r="R15" i="8"/>
  <c r="D15" i="8"/>
  <c r="C15" i="8"/>
  <c r="R14" i="8"/>
  <c r="D14" i="8"/>
  <c r="C14" i="8"/>
  <c r="R13" i="8"/>
  <c r="D13" i="8"/>
  <c r="C13" i="8"/>
  <c r="R12" i="8"/>
  <c r="D12" i="8"/>
  <c r="C12" i="8"/>
  <c r="R11" i="8"/>
  <c r="D11" i="8"/>
  <c r="C11" i="8"/>
  <c r="R10" i="8"/>
  <c r="D10" i="8"/>
  <c r="C10" i="8"/>
  <c r="R9" i="8"/>
  <c r="D9" i="8"/>
  <c r="C9" i="8"/>
  <c r="R8" i="8"/>
  <c r="D8" i="8"/>
  <c r="C8" i="8"/>
  <c r="R7" i="8"/>
  <c r="D7" i="8"/>
  <c r="C7" i="8"/>
  <c r="R6" i="8"/>
  <c r="D6" i="8"/>
  <c r="C6" i="8"/>
  <c r="R5" i="8"/>
  <c r="D5" i="8"/>
  <c r="C5" i="8"/>
  <c r="R4" i="8"/>
  <c r="K4" i="8"/>
  <c r="D4" i="8"/>
  <c r="C4" i="8"/>
  <c r="C1" i="8"/>
  <c r="Q9" i="7"/>
  <c r="S9" i="7" s="1"/>
  <c r="R100" i="2"/>
  <c r="U100" i="2" s="1"/>
  <c r="Q7" i="7"/>
  <c r="S7" i="7" s="1"/>
  <c r="H7" i="7"/>
  <c r="S6" i="7"/>
  <c r="Q6" i="7"/>
  <c r="H6" i="7"/>
  <c r="Q5" i="7"/>
  <c r="S5" i="7" s="1"/>
  <c r="H5" i="7"/>
  <c r="S4" i="7"/>
  <c r="Q3" i="7"/>
  <c r="N55" i="6"/>
  <c r="L55" i="6"/>
  <c r="K55" i="6"/>
  <c r="G55" i="6"/>
  <c r="F55" i="6"/>
  <c r="E55" i="6"/>
  <c r="D55" i="6"/>
  <c r="C55" i="6"/>
  <c r="B55" i="6"/>
  <c r="N54" i="6"/>
  <c r="L54" i="6"/>
  <c r="K54" i="6"/>
  <c r="G54" i="6"/>
  <c r="F54" i="6"/>
  <c r="E54" i="6"/>
  <c r="D54" i="6"/>
  <c r="C54" i="6"/>
  <c r="B54" i="6"/>
  <c r="N53" i="6"/>
  <c r="L53" i="6"/>
  <c r="K53" i="6"/>
  <c r="G53" i="6"/>
  <c r="F53" i="6"/>
  <c r="E53" i="6"/>
  <c r="D53" i="6"/>
  <c r="C53" i="6"/>
  <c r="B53" i="6"/>
  <c r="N52" i="6"/>
  <c r="L52" i="6"/>
  <c r="K52" i="6"/>
  <c r="G52" i="6"/>
  <c r="F52" i="6"/>
  <c r="E52" i="6"/>
  <c r="D52" i="6"/>
  <c r="C52" i="6"/>
  <c r="B52" i="6"/>
  <c r="N51" i="6"/>
  <c r="L51" i="6"/>
  <c r="K51" i="6"/>
  <c r="G51" i="6"/>
  <c r="F51" i="6"/>
  <c r="E51" i="6"/>
  <c r="D51" i="6"/>
  <c r="C51" i="6"/>
  <c r="B51" i="6"/>
  <c r="N50" i="6"/>
  <c r="L50" i="6"/>
  <c r="K50" i="6"/>
  <c r="G50" i="6"/>
  <c r="F50" i="6"/>
  <c r="E50" i="6"/>
  <c r="D50" i="6"/>
  <c r="C50" i="6"/>
  <c r="B50" i="6"/>
  <c r="N49" i="6"/>
  <c r="L49" i="6"/>
  <c r="K49" i="6"/>
  <c r="G49" i="6"/>
  <c r="F49" i="6"/>
  <c r="E49" i="6"/>
  <c r="D49" i="6"/>
  <c r="C49" i="6"/>
  <c r="B49" i="6"/>
  <c r="N48" i="6"/>
  <c r="L48" i="6"/>
  <c r="K48" i="6"/>
  <c r="G48" i="6"/>
  <c r="F48" i="6"/>
  <c r="E48" i="6"/>
  <c r="D48" i="6"/>
  <c r="C48" i="6"/>
  <c r="B48" i="6"/>
  <c r="N47" i="6"/>
  <c r="L47" i="6"/>
  <c r="K47" i="6"/>
  <c r="G47" i="6"/>
  <c r="F47" i="6"/>
  <c r="E47" i="6"/>
  <c r="D47" i="6"/>
  <c r="C47" i="6"/>
  <c r="B47" i="6"/>
  <c r="N46" i="6"/>
  <c r="L46" i="6"/>
  <c r="K46" i="6"/>
  <c r="G46" i="6"/>
  <c r="F46" i="6"/>
  <c r="E46" i="6"/>
  <c r="D46" i="6"/>
  <c r="C46" i="6"/>
  <c r="B46" i="6"/>
  <c r="N45" i="6"/>
  <c r="L45" i="6"/>
  <c r="K45" i="6"/>
  <c r="G45" i="6"/>
  <c r="F45" i="6"/>
  <c r="E45" i="6"/>
  <c r="D45" i="6"/>
  <c r="C45" i="6"/>
  <c r="B45" i="6"/>
  <c r="N41" i="6"/>
  <c r="L41" i="6"/>
  <c r="K41" i="6"/>
  <c r="G41" i="6"/>
  <c r="F41" i="6"/>
  <c r="E41" i="6"/>
  <c r="D41" i="6"/>
  <c r="C41" i="6"/>
  <c r="B41" i="6"/>
  <c r="N38" i="6"/>
  <c r="L38" i="6"/>
  <c r="K38" i="6"/>
  <c r="G38" i="6"/>
  <c r="F38" i="6"/>
  <c r="E38" i="6"/>
  <c r="D38" i="6"/>
  <c r="C38" i="6"/>
  <c r="B38" i="6"/>
  <c r="N37" i="6"/>
  <c r="L37" i="6"/>
  <c r="K37" i="6"/>
  <c r="G37" i="6"/>
  <c r="F37" i="6"/>
  <c r="E37" i="6"/>
  <c r="D37" i="6"/>
  <c r="C37" i="6"/>
  <c r="B37" i="6"/>
  <c r="B35" i="6"/>
  <c r="N34" i="6"/>
  <c r="L34" i="6"/>
  <c r="K34" i="6"/>
  <c r="G34" i="6"/>
  <c r="F34" i="6"/>
  <c r="E34" i="6"/>
  <c r="D34" i="6"/>
  <c r="C34" i="6"/>
  <c r="B34" i="6"/>
  <c r="N32" i="6"/>
  <c r="L32" i="6"/>
  <c r="K32" i="6"/>
  <c r="G32" i="6"/>
  <c r="F32" i="6"/>
  <c r="E32" i="6"/>
  <c r="D32" i="6"/>
  <c r="C32" i="6"/>
  <c r="B32" i="6"/>
  <c r="N31" i="6"/>
  <c r="L31" i="6"/>
  <c r="K31" i="6"/>
  <c r="G31" i="6"/>
  <c r="F31" i="6"/>
  <c r="E31" i="6"/>
  <c r="D31" i="6"/>
  <c r="C31" i="6"/>
  <c r="B31" i="6"/>
  <c r="N30" i="6"/>
  <c r="L30" i="6"/>
  <c r="K30" i="6"/>
  <c r="G30" i="6"/>
  <c r="F30" i="6"/>
  <c r="E30" i="6"/>
  <c r="D30" i="6"/>
  <c r="C30" i="6"/>
  <c r="B30" i="6"/>
  <c r="N29" i="6"/>
  <c r="L29" i="6"/>
  <c r="K29" i="6"/>
  <c r="G29" i="6"/>
  <c r="F29" i="6"/>
  <c r="E29" i="6"/>
  <c r="D29" i="6"/>
  <c r="C29" i="6"/>
  <c r="B29" i="6"/>
  <c r="N28" i="6"/>
  <c r="L28" i="6"/>
  <c r="K28" i="6"/>
  <c r="G28" i="6"/>
  <c r="F28" i="6"/>
  <c r="E28" i="6"/>
  <c r="D28" i="6"/>
  <c r="C28" i="6"/>
  <c r="B28" i="6"/>
  <c r="N27" i="6"/>
  <c r="L27" i="6"/>
  <c r="K27" i="6"/>
  <c r="G27" i="6"/>
  <c r="F27" i="6"/>
  <c r="E27" i="6"/>
  <c r="D27" i="6"/>
  <c r="C27" i="6"/>
  <c r="B27" i="6"/>
  <c r="N26" i="6"/>
  <c r="L26" i="6"/>
  <c r="K26" i="6"/>
  <c r="G26" i="6"/>
  <c r="F26" i="6"/>
  <c r="E26" i="6"/>
  <c r="D26" i="6"/>
  <c r="C26" i="6"/>
  <c r="B26" i="6"/>
  <c r="N25" i="6"/>
  <c r="L25" i="6"/>
  <c r="K25" i="6"/>
  <c r="F25" i="6"/>
  <c r="E25" i="6"/>
  <c r="D25" i="6"/>
  <c r="C25" i="6"/>
  <c r="B25" i="6"/>
  <c r="N24" i="6"/>
  <c r="L24" i="6"/>
  <c r="K24" i="6"/>
  <c r="G24" i="6"/>
  <c r="F24" i="6"/>
  <c r="E24" i="6"/>
  <c r="D24" i="6"/>
  <c r="C24" i="6"/>
  <c r="B24" i="6"/>
  <c r="N23" i="6"/>
  <c r="L23" i="6"/>
  <c r="K23" i="6"/>
  <c r="G23" i="6"/>
  <c r="F23" i="6"/>
  <c r="E23" i="6"/>
  <c r="D23" i="6"/>
  <c r="C23" i="6"/>
  <c r="B23" i="6"/>
  <c r="N22" i="6"/>
  <c r="L22" i="6"/>
  <c r="K22" i="6"/>
  <c r="G22" i="6"/>
  <c r="F22" i="6"/>
  <c r="E22" i="6"/>
  <c r="D22" i="6"/>
  <c r="C22" i="6"/>
  <c r="B22" i="6"/>
  <c r="N21" i="6"/>
  <c r="L21" i="6"/>
  <c r="K21" i="6"/>
  <c r="G21" i="6"/>
  <c r="F21" i="6"/>
  <c r="E21" i="6"/>
  <c r="D21" i="6"/>
  <c r="C21" i="6"/>
  <c r="B21" i="6"/>
  <c r="N20" i="6"/>
  <c r="L20" i="6"/>
  <c r="K20" i="6"/>
  <c r="G20" i="6"/>
  <c r="F20" i="6"/>
  <c r="E20" i="6"/>
  <c r="D20" i="6"/>
  <c r="C20" i="6"/>
  <c r="B20" i="6"/>
  <c r="N19" i="6"/>
  <c r="L19" i="6"/>
  <c r="K19" i="6"/>
  <c r="G19" i="6"/>
  <c r="F19" i="6"/>
  <c r="E19" i="6"/>
  <c r="D19" i="6"/>
  <c r="C19" i="6"/>
  <c r="B19" i="6"/>
  <c r="N18" i="6"/>
  <c r="L18" i="6"/>
  <c r="K18" i="6"/>
  <c r="G18" i="6"/>
  <c r="F18" i="6"/>
  <c r="E18" i="6"/>
  <c r="D18" i="6"/>
  <c r="C18" i="6"/>
  <c r="B18" i="6"/>
  <c r="N17" i="6"/>
  <c r="L17" i="6"/>
  <c r="K17" i="6"/>
  <c r="G17" i="6"/>
  <c r="F17" i="6"/>
  <c r="E17" i="6"/>
  <c r="D17" i="6"/>
  <c r="C17" i="6"/>
  <c r="B17" i="6"/>
  <c r="P16" i="6"/>
  <c r="P17" i="6" s="1"/>
  <c r="P18" i="6" s="1"/>
  <c r="P19" i="6" s="1"/>
  <c r="P20" i="6" s="1"/>
  <c r="P21" i="6" s="1"/>
  <c r="P22" i="6" s="1"/>
  <c r="P23" i="6" s="1"/>
  <c r="P24" i="6" s="1"/>
  <c r="P25" i="6" s="1"/>
  <c r="P26" i="6" s="1"/>
  <c r="P27" i="6" s="1"/>
  <c r="P28" i="6" s="1"/>
  <c r="P29" i="6" s="1"/>
  <c r="P30" i="6" s="1"/>
  <c r="P31" i="6" s="1"/>
  <c r="P32" i="6" s="1"/>
  <c r="P34" i="6" s="1"/>
  <c r="P35" i="6" s="1"/>
  <c r="P37" i="6" s="1"/>
  <c r="P38" i="6" s="1"/>
  <c r="N16" i="6"/>
  <c r="L16" i="6"/>
  <c r="K16" i="6"/>
  <c r="G16" i="6"/>
  <c r="F16" i="6"/>
  <c r="E16" i="6"/>
  <c r="D16" i="6"/>
  <c r="C16" i="6"/>
  <c r="B16" i="6"/>
  <c r="N15" i="6"/>
  <c r="L15" i="6"/>
  <c r="K15" i="6"/>
  <c r="G15" i="6"/>
  <c r="F15" i="6"/>
  <c r="E15" i="6"/>
  <c r="D15" i="6"/>
  <c r="C15" i="6"/>
  <c r="B15" i="6"/>
  <c r="A13" i="6"/>
  <c r="M34" i="5"/>
  <c r="K33" i="5"/>
  <c r="G33" i="5"/>
  <c r="F33" i="5"/>
  <c r="E33" i="5"/>
  <c r="D33" i="5"/>
  <c r="C33" i="5"/>
  <c r="B33" i="5"/>
  <c r="K32" i="5"/>
  <c r="G32" i="5"/>
  <c r="F32" i="5"/>
  <c r="E32" i="5"/>
  <c r="D32" i="5"/>
  <c r="C32" i="5"/>
  <c r="B32" i="5"/>
  <c r="K31" i="5"/>
  <c r="G31" i="5"/>
  <c r="F31" i="5"/>
  <c r="E31" i="5"/>
  <c r="D31" i="5"/>
  <c r="C31" i="5"/>
  <c r="B31" i="5"/>
  <c r="K30" i="5"/>
  <c r="G30" i="5"/>
  <c r="F30" i="5"/>
  <c r="E30" i="5"/>
  <c r="D30" i="5"/>
  <c r="C30" i="5"/>
  <c r="B30" i="5"/>
  <c r="K29" i="5"/>
  <c r="G29" i="5"/>
  <c r="F29" i="5"/>
  <c r="E29" i="5"/>
  <c r="D29" i="5"/>
  <c r="C29" i="5"/>
  <c r="B29" i="5"/>
  <c r="K28" i="5"/>
  <c r="G28" i="5"/>
  <c r="F28" i="5"/>
  <c r="E28" i="5"/>
  <c r="D28" i="5"/>
  <c r="C28" i="5"/>
  <c r="B28" i="5"/>
  <c r="K27" i="5"/>
  <c r="G27" i="5"/>
  <c r="F27" i="5"/>
  <c r="E27" i="5"/>
  <c r="D27" i="5"/>
  <c r="C27" i="5"/>
  <c r="B27" i="5"/>
  <c r="K26" i="5"/>
  <c r="G26" i="5"/>
  <c r="F26" i="5"/>
  <c r="E26" i="5"/>
  <c r="D26" i="5"/>
  <c r="C26" i="5"/>
  <c r="B26" i="5"/>
  <c r="K23" i="5"/>
  <c r="G23" i="5"/>
  <c r="F23" i="5"/>
  <c r="E23" i="5"/>
  <c r="D23" i="5"/>
  <c r="C23" i="5"/>
  <c r="B23" i="5"/>
  <c r="K22" i="5"/>
  <c r="G22" i="5"/>
  <c r="F22" i="5"/>
  <c r="E22" i="5"/>
  <c r="D22" i="5"/>
  <c r="C22" i="5"/>
  <c r="B22" i="5"/>
  <c r="K21" i="5"/>
  <c r="G21" i="5"/>
  <c r="F21" i="5"/>
  <c r="E21" i="5"/>
  <c r="D21" i="5"/>
  <c r="C21" i="5"/>
  <c r="B21" i="5"/>
  <c r="K20" i="5"/>
  <c r="G20" i="5"/>
  <c r="F20" i="5"/>
  <c r="E20" i="5"/>
  <c r="D20" i="5"/>
  <c r="C20" i="5"/>
  <c r="B20" i="5"/>
  <c r="K19" i="5"/>
  <c r="G19" i="5"/>
  <c r="F19" i="5"/>
  <c r="E19" i="5"/>
  <c r="D19" i="5"/>
  <c r="C19" i="5"/>
  <c r="B19" i="5"/>
  <c r="K18" i="5"/>
  <c r="G18" i="5"/>
  <c r="F18" i="5"/>
  <c r="E18" i="5"/>
  <c r="D18" i="5"/>
  <c r="C18" i="5"/>
  <c r="B18" i="5"/>
  <c r="O17" i="5"/>
  <c r="O18" i="5" s="1"/>
  <c r="O19" i="5" s="1"/>
  <c r="O20" i="5" s="1"/>
  <c r="O21" i="5" s="1"/>
  <c r="O22" i="5" s="1"/>
  <c r="O23" i="5" s="1"/>
  <c r="O24" i="5" s="1"/>
  <c r="O25" i="5" s="1"/>
  <c r="K17" i="5"/>
  <c r="G17" i="5"/>
  <c r="F17" i="5"/>
  <c r="E17" i="5"/>
  <c r="D17" i="5"/>
  <c r="C17" i="5"/>
  <c r="B17" i="5"/>
  <c r="K16" i="5"/>
  <c r="G16" i="5"/>
  <c r="F16" i="5"/>
  <c r="E16" i="5"/>
  <c r="D16" i="5"/>
  <c r="C16" i="5"/>
  <c r="B16" i="5"/>
  <c r="A14" i="5"/>
  <c r="O50" i="4"/>
  <c r="G49" i="4"/>
  <c r="F49" i="4"/>
  <c r="E49" i="4"/>
  <c r="C49" i="4"/>
  <c r="G48" i="4"/>
  <c r="F48" i="4"/>
  <c r="E48" i="4"/>
  <c r="C48" i="4"/>
  <c r="L47" i="4"/>
  <c r="H47" i="4"/>
  <c r="G47" i="4"/>
  <c r="F47" i="4"/>
  <c r="E47" i="4"/>
  <c r="D47" i="4"/>
  <c r="C47" i="4"/>
  <c r="M47" i="4" s="1"/>
  <c r="L46" i="4"/>
  <c r="H46" i="4"/>
  <c r="G46" i="4"/>
  <c r="F46" i="4"/>
  <c r="E46" i="4"/>
  <c r="D46" i="4"/>
  <c r="C46" i="4"/>
  <c r="M46" i="4" s="1"/>
  <c r="H45" i="4"/>
  <c r="G45" i="4"/>
  <c r="F45" i="4"/>
  <c r="E45" i="4"/>
  <c r="D45" i="4"/>
  <c r="C45" i="4"/>
  <c r="M45" i="4" s="1"/>
  <c r="L44" i="4"/>
  <c r="H44" i="4"/>
  <c r="G44" i="4"/>
  <c r="F44" i="4"/>
  <c r="E44" i="4"/>
  <c r="D44" i="4"/>
  <c r="C44" i="4"/>
  <c r="M44" i="4" s="1"/>
  <c r="L43" i="4"/>
  <c r="H43" i="4"/>
  <c r="G43" i="4"/>
  <c r="F43" i="4"/>
  <c r="E43" i="4"/>
  <c r="D43" i="4"/>
  <c r="C43" i="4"/>
  <c r="M43" i="4" s="1"/>
  <c r="L42" i="4"/>
  <c r="H42" i="4"/>
  <c r="G42" i="4"/>
  <c r="F42" i="4"/>
  <c r="E42" i="4"/>
  <c r="D42" i="4"/>
  <c r="C42" i="4"/>
  <c r="M42" i="4" s="1"/>
  <c r="L41" i="4"/>
  <c r="H41" i="4"/>
  <c r="G41" i="4"/>
  <c r="F41" i="4"/>
  <c r="E41" i="4"/>
  <c r="D41" i="4"/>
  <c r="C41" i="4"/>
  <c r="M41" i="4" s="1"/>
  <c r="L40" i="4"/>
  <c r="H40" i="4"/>
  <c r="G40" i="4"/>
  <c r="F40" i="4"/>
  <c r="E40" i="4"/>
  <c r="D40" i="4"/>
  <c r="C40" i="4"/>
  <c r="M40" i="4" s="1"/>
  <c r="L39" i="4"/>
  <c r="H39" i="4"/>
  <c r="G39" i="4"/>
  <c r="F39" i="4"/>
  <c r="E39" i="4"/>
  <c r="D39" i="4"/>
  <c r="C39" i="4"/>
  <c r="M39" i="4" s="1"/>
  <c r="L38" i="4"/>
  <c r="H38" i="4"/>
  <c r="G38" i="4"/>
  <c r="F38" i="4"/>
  <c r="E38" i="4"/>
  <c r="D38" i="4"/>
  <c r="C38" i="4"/>
  <c r="M38" i="4" s="1"/>
  <c r="L37" i="4"/>
  <c r="H37" i="4"/>
  <c r="G37" i="4"/>
  <c r="F37" i="4"/>
  <c r="E37" i="4"/>
  <c r="D37" i="4"/>
  <c r="C37" i="4"/>
  <c r="M37" i="4" s="1"/>
  <c r="L36" i="4"/>
  <c r="H36" i="4"/>
  <c r="G36" i="4"/>
  <c r="F36" i="4"/>
  <c r="E36" i="4"/>
  <c r="D36" i="4"/>
  <c r="C36" i="4"/>
  <c r="M36" i="4" s="1"/>
  <c r="L35" i="4"/>
  <c r="H35" i="4"/>
  <c r="G35" i="4"/>
  <c r="F35" i="4"/>
  <c r="E35" i="4"/>
  <c r="D35" i="4"/>
  <c r="C35" i="4"/>
  <c r="M35" i="4" s="1"/>
  <c r="L34" i="4"/>
  <c r="H34" i="4"/>
  <c r="G34" i="4"/>
  <c r="F34" i="4"/>
  <c r="E34" i="4"/>
  <c r="D34" i="4"/>
  <c r="C34" i="4"/>
  <c r="M34" i="4" s="1"/>
  <c r="L33" i="4"/>
  <c r="H33" i="4"/>
  <c r="G33" i="4"/>
  <c r="F33" i="4"/>
  <c r="E33" i="4"/>
  <c r="D33" i="4"/>
  <c r="C33" i="4"/>
  <c r="M33" i="4" s="1"/>
  <c r="L32" i="4"/>
  <c r="H32" i="4"/>
  <c r="G32" i="4"/>
  <c r="F32" i="4"/>
  <c r="E32" i="4"/>
  <c r="D32" i="4"/>
  <c r="C32" i="4"/>
  <c r="M32" i="4" s="1"/>
  <c r="L31" i="4"/>
  <c r="H31" i="4"/>
  <c r="G31" i="4"/>
  <c r="F31" i="4"/>
  <c r="E31" i="4"/>
  <c r="D31" i="4"/>
  <c r="C31" i="4"/>
  <c r="M31" i="4" s="1"/>
  <c r="L30" i="4"/>
  <c r="H30" i="4"/>
  <c r="G30" i="4"/>
  <c r="F30" i="4"/>
  <c r="E30" i="4"/>
  <c r="D30" i="4"/>
  <c r="C30" i="4"/>
  <c r="M30" i="4" s="1"/>
  <c r="L29" i="4"/>
  <c r="H29" i="4"/>
  <c r="G29" i="4"/>
  <c r="F29" i="4"/>
  <c r="E29" i="4"/>
  <c r="D29" i="4"/>
  <c r="C29" i="4"/>
  <c r="M29" i="4" s="1"/>
  <c r="H28" i="4"/>
  <c r="G28" i="4"/>
  <c r="F28" i="4"/>
  <c r="E28" i="4"/>
  <c r="D28" i="4"/>
  <c r="C28" i="4"/>
  <c r="M28" i="4" s="1"/>
  <c r="L27" i="4"/>
  <c r="H27" i="4"/>
  <c r="G27" i="4"/>
  <c r="F27" i="4"/>
  <c r="E27" i="4"/>
  <c r="D27" i="4"/>
  <c r="C27" i="4"/>
  <c r="M27" i="4" s="1"/>
  <c r="L26" i="4"/>
  <c r="H26" i="4"/>
  <c r="G26" i="4"/>
  <c r="F26" i="4"/>
  <c r="E26" i="4"/>
  <c r="D26" i="4"/>
  <c r="C26" i="4"/>
  <c r="M26" i="4" s="1"/>
  <c r="L25" i="4"/>
  <c r="H25" i="4"/>
  <c r="G25" i="4"/>
  <c r="F25" i="4"/>
  <c r="E25" i="4"/>
  <c r="D25" i="4"/>
  <c r="C25" i="4"/>
  <c r="M25" i="4" s="1"/>
  <c r="L24" i="4"/>
  <c r="H24" i="4"/>
  <c r="G24" i="4"/>
  <c r="F24" i="4"/>
  <c r="E24" i="4"/>
  <c r="D24" i="4"/>
  <c r="C24" i="4"/>
  <c r="M24" i="4" s="1"/>
  <c r="L23" i="4"/>
  <c r="H23" i="4"/>
  <c r="G23" i="4"/>
  <c r="F23" i="4"/>
  <c r="E23" i="4"/>
  <c r="D23" i="4"/>
  <c r="C23" i="4"/>
  <c r="M23" i="4" s="1"/>
  <c r="L22" i="4"/>
  <c r="H22" i="4"/>
  <c r="G22" i="4"/>
  <c r="F22" i="4"/>
  <c r="E22" i="4"/>
  <c r="D22" i="4"/>
  <c r="C22" i="4"/>
  <c r="M22" i="4" s="1"/>
  <c r="L21" i="4"/>
  <c r="H21" i="4"/>
  <c r="G21" i="4"/>
  <c r="F21" i="4"/>
  <c r="E21" i="4"/>
  <c r="D21" i="4"/>
  <c r="C21" i="4"/>
  <c r="M21" i="4" s="1"/>
  <c r="L20" i="4"/>
  <c r="H20" i="4"/>
  <c r="G20" i="4"/>
  <c r="F20" i="4"/>
  <c r="E20" i="4"/>
  <c r="D20" i="4"/>
  <c r="C20" i="4"/>
  <c r="M20" i="4" s="1"/>
  <c r="L19" i="4"/>
  <c r="H19" i="4"/>
  <c r="G19" i="4"/>
  <c r="F19" i="4"/>
  <c r="E19" i="4"/>
  <c r="D19" i="4"/>
  <c r="C19" i="4"/>
  <c r="M19" i="4" s="1"/>
  <c r="L18" i="4"/>
  <c r="H18" i="4"/>
  <c r="G18" i="4"/>
  <c r="F18" i="4"/>
  <c r="E18" i="4"/>
  <c r="D18" i="4"/>
  <c r="C18" i="4"/>
  <c r="M18" i="4" s="1"/>
  <c r="L17" i="4"/>
  <c r="H17" i="4"/>
  <c r="G17" i="4"/>
  <c r="F17" i="4"/>
  <c r="E17" i="4"/>
  <c r="D17" i="4"/>
  <c r="C17" i="4"/>
  <c r="M17" i="4" s="1"/>
  <c r="L16" i="4"/>
  <c r="H16" i="4"/>
  <c r="G16" i="4"/>
  <c r="F16" i="4"/>
  <c r="E16" i="4"/>
  <c r="D16" i="4"/>
  <c r="C16" i="4"/>
  <c r="M16" i="4" s="1"/>
  <c r="L15" i="4"/>
  <c r="H15" i="4"/>
  <c r="G15" i="4"/>
  <c r="F15" i="4"/>
  <c r="E15" i="4"/>
  <c r="D15" i="4"/>
  <c r="C15" i="4"/>
  <c r="M15" i="4" s="1"/>
  <c r="Q14" i="4"/>
  <c r="Q15" i="4" s="1"/>
  <c r="Q16" i="4" s="1"/>
  <c r="Q17" i="4" s="1"/>
  <c r="Q18" i="4" s="1"/>
  <c r="Q19" i="4" s="1"/>
  <c r="Q20" i="4" s="1"/>
  <c r="Q21" i="4" s="1"/>
  <c r="Q22" i="4" s="1"/>
  <c r="Q23" i="4" s="1"/>
  <c r="Q24" i="4" s="1"/>
  <c r="Q25" i="4" s="1"/>
  <c r="Q26" i="4" s="1"/>
  <c r="Q27" i="4" s="1"/>
  <c r="Q28" i="4" s="1"/>
  <c r="Q29" i="4" s="1"/>
  <c r="Q30" i="4" s="1"/>
  <c r="Q31" i="4" s="1"/>
  <c r="Q32" i="4" s="1"/>
  <c r="Q33" i="4" s="1"/>
  <c r="Q34" i="4" s="1"/>
  <c r="Q35" i="4" s="1"/>
  <c r="Q36" i="4" s="1"/>
  <c r="Q37" i="4" s="1"/>
  <c r="Q38" i="4" s="1"/>
  <c r="Q39" i="4" s="1"/>
  <c r="Q40" i="4" s="1"/>
  <c r="Q41" i="4" s="1"/>
  <c r="Q42" i="4" s="1"/>
  <c r="Q43" i="4" s="1"/>
  <c r="Q44" i="4" s="1"/>
  <c r="Q45" i="4" s="1"/>
  <c r="Q46" i="4" s="1"/>
  <c r="Q47" i="4" s="1"/>
  <c r="L14" i="4"/>
  <c r="H14" i="4"/>
  <c r="G14" i="4"/>
  <c r="F14" i="4"/>
  <c r="E14" i="4"/>
  <c r="D14" i="4"/>
  <c r="C14" i="4"/>
  <c r="M14" i="4" s="1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L13" i="4"/>
  <c r="H13" i="4"/>
  <c r="G13" i="4"/>
  <c r="F13" i="4"/>
  <c r="E13" i="4"/>
  <c r="D13" i="4"/>
  <c r="C13" i="4"/>
  <c r="M13" i="4" s="1"/>
  <c r="B11" i="4"/>
  <c r="H105" i="3"/>
  <c r="G105" i="3"/>
  <c r="F105" i="3"/>
  <c r="E105" i="3"/>
  <c r="D105" i="3"/>
  <c r="H104" i="3"/>
  <c r="G104" i="3"/>
  <c r="F104" i="3"/>
  <c r="E104" i="3"/>
  <c r="D104" i="3"/>
  <c r="H103" i="3"/>
  <c r="G103" i="3"/>
  <c r="F103" i="3"/>
  <c r="E103" i="3"/>
  <c r="D103" i="3"/>
  <c r="H102" i="3"/>
  <c r="G102" i="3"/>
  <c r="F102" i="3"/>
  <c r="E102" i="3"/>
  <c r="D102" i="3"/>
  <c r="H101" i="3"/>
  <c r="G101" i="3"/>
  <c r="F101" i="3"/>
  <c r="E101" i="3"/>
  <c r="D101" i="3"/>
  <c r="H100" i="3"/>
  <c r="G100" i="3"/>
  <c r="F100" i="3"/>
  <c r="E100" i="3"/>
  <c r="D100" i="3"/>
  <c r="H99" i="3"/>
  <c r="G99" i="3"/>
  <c r="F99" i="3"/>
  <c r="E99" i="3"/>
  <c r="D99" i="3"/>
  <c r="H98" i="3"/>
  <c r="G98" i="3"/>
  <c r="F98" i="3"/>
  <c r="E98" i="3"/>
  <c r="D98" i="3"/>
  <c r="H97" i="3"/>
  <c r="G97" i="3"/>
  <c r="F97" i="3"/>
  <c r="E97" i="3"/>
  <c r="D97" i="3"/>
  <c r="H96" i="3"/>
  <c r="G96" i="3"/>
  <c r="F96" i="3"/>
  <c r="E96" i="3"/>
  <c r="D96" i="3"/>
  <c r="H95" i="3"/>
  <c r="G95" i="3"/>
  <c r="F95" i="3"/>
  <c r="E95" i="3"/>
  <c r="D95" i="3"/>
  <c r="H94" i="3"/>
  <c r="G94" i="3"/>
  <c r="F94" i="3"/>
  <c r="E94" i="3"/>
  <c r="D94" i="3"/>
  <c r="H93" i="3"/>
  <c r="G93" i="3"/>
  <c r="F93" i="3"/>
  <c r="E93" i="3"/>
  <c r="D93" i="3"/>
  <c r="H92" i="3"/>
  <c r="G92" i="3"/>
  <c r="F92" i="3"/>
  <c r="E92" i="3"/>
  <c r="D92" i="3"/>
  <c r="H91" i="3"/>
  <c r="G91" i="3"/>
  <c r="F91" i="3"/>
  <c r="E91" i="3"/>
  <c r="D91" i="3"/>
  <c r="H90" i="3"/>
  <c r="G90" i="3"/>
  <c r="F90" i="3"/>
  <c r="E90" i="3"/>
  <c r="D90" i="3"/>
  <c r="H89" i="3"/>
  <c r="G89" i="3"/>
  <c r="F89" i="3"/>
  <c r="E89" i="3"/>
  <c r="D89" i="3"/>
  <c r="H88" i="3"/>
  <c r="G88" i="3"/>
  <c r="F88" i="3"/>
  <c r="E88" i="3"/>
  <c r="D88" i="3"/>
  <c r="H87" i="3"/>
  <c r="G87" i="3"/>
  <c r="F87" i="3"/>
  <c r="E87" i="3"/>
  <c r="D87" i="3"/>
  <c r="H86" i="3"/>
  <c r="G86" i="3"/>
  <c r="F86" i="3"/>
  <c r="E86" i="3"/>
  <c r="D86" i="3"/>
  <c r="H85" i="3"/>
  <c r="G85" i="3"/>
  <c r="F85" i="3"/>
  <c r="E85" i="3"/>
  <c r="D85" i="3"/>
  <c r="H84" i="3"/>
  <c r="G84" i="3"/>
  <c r="F84" i="3"/>
  <c r="E84" i="3"/>
  <c r="D84" i="3"/>
  <c r="H83" i="3"/>
  <c r="G83" i="3"/>
  <c r="F83" i="3"/>
  <c r="E83" i="3"/>
  <c r="D83" i="3"/>
  <c r="H82" i="3"/>
  <c r="G82" i="3"/>
  <c r="F82" i="3"/>
  <c r="E82" i="3"/>
  <c r="D82" i="3"/>
  <c r="H81" i="3"/>
  <c r="G81" i="3"/>
  <c r="F81" i="3"/>
  <c r="E81" i="3"/>
  <c r="D81" i="3"/>
  <c r="H80" i="3"/>
  <c r="G80" i="3"/>
  <c r="F80" i="3"/>
  <c r="E80" i="3"/>
  <c r="D80" i="3"/>
  <c r="H79" i="3"/>
  <c r="G79" i="3"/>
  <c r="F79" i="3"/>
  <c r="E79" i="3"/>
  <c r="D79" i="3"/>
  <c r="H78" i="3"/>
  <c r="G78" i="3"/>
  <c r="F78" i="3"/>
  <c r="E78" i="3"/>
  <c r="D78" i="3"/>
  <c r="H77" i="3"/>
  <c r="G77" i="3"/>
  <c r="F77" i="3"/>
  <c r="E77" i="3"/>
  <c r="D77" i="3"/>
  <c r="H76" i="3"/>
  <c r="G76" i="3"/>
  <c r="F76" i="3"/>
  <c r="E76" i="3"/>
  <c r="D76" i="3"/>
  <c r="H75" i="3"/>
  <c r="G75" i="3"/>
  <c r="F75" i="3"/>
  <c r="E75" i="3"/>
  <c r="D75" i="3"/>
  <c r="H74" i="3"/>
  <c r="G74" i="3"/>
  <c r="F74" i="3"/>
  <c r="E74" i="3"/>
  <c r="D74" i="3"/>
  <c r="H73" i="3"/>
  <c r="G73" i="3"/>
  <c r="F73" i="3"/>
  <c r="E73" i="3"/>
  <c r="D73" i="3"/>
  <c r="H72" i="3"/>
  <c r="G72" i="3"/>
  <c r="F72" i="3"/>
  <c r="E72" i="3"/>
  <c r="D72" i="3"/>
  <c r="H71" i="3"/>
  <c r="G71" i="3"/>
  <c r="F71" i="3"/>
  <c r="E71" i="3"/>
  <c r="D71" i="3"/>
  <c r="H70" i="3"/>
  <c r="G70" i="3"/>
  <c r="F70" i="3"/>
  <c r="E70" i="3"/>
  <c r="D70" i="3"/>
  <c r="H69" i="3"/>
  <c r="G69" i="3"/>
  <c r="F69" i="3"/>
  <c r="E69" i="3"/>
  <c r="D69" i="3"/>
  <c r="H68" i="3"/>
  <c r="G68" i="3"/>
  <c r="F68" i="3"/>
  <c r="E68" i="3"/>
  <c r="D68" i="3"/>
  <c r="H67" i="3"/>
  <c r="G67" i="3"/>
  <c r="F67" i="3"/>
  <c r="E67" i="3"/>
  <c r="D67" i="3"/>
  <c r="H66" i="3"/>
  <c r="G66" i="3"/>
  <c r="F66" i="3"/>
  <c r="E66" i="3"/>
  <c r="D66" i="3"/>
  <c r="H65" i="3"/>
  <c r="G65" i="3"/>
  <c r="F65" i="3"/>
  <c r="E65" i="3"/>
  <c r="D65" i="3"/>
  <c r="H64" i="3"/>
  <c r="G64" i="3"/>
  <c r="F64" i="3"/>
  <c r="E64" i="3"/>
  <c r="D64" i="3"/>
  <c r="H63" i="3"/>
  <c r="G63" i="3"/>
  <c r="F63" i="3"/>
  <c r="E63" i="3"/>
  <c r="D63" i="3"/>
  <c r="H62" i="3"/>
  <c r="G62" i="3"/>
  <c r="F62" i="3"/>
  <c r="E62" i="3"/>
  <c r="D62" i="3"/>
  <c r="H61" i="3"/>
  <c r="G61" i="3"/>
  <c r="F61" i="3"/>
  <c r="E61" i="3"/>
  <c r="D61" i="3"/>
  <c r="H60" i="3"/>
  <c r="G60" i="3"/>
  <c r="F60" i="3"/>
  <c r="E60" i="3"/>
  <c r="D60" i="3"/>
  <c r="H59" i="3"/>
  <c r="G59" i="3"/>
  <c r="F59" i="3"/>
  <c r="E59" i="3"/>
  <c r="D59" i="3"/>
  <c r="H58" i="3"/>
  <c r="G58" i="3"/>
  <c r="F58" i="3"/>
  <c r="E58" i="3"/>
  <c r="D58" i="3"/>
  <c r="H57" i="3"/>
  <c r="G57" i="3"/>
  <c r="F57" i="3"/>
  <c r="E57" i="3"/>
  <c r="D57" i="3"/>
  <c r="H56" i="3"/>
  <c r="G56" i="3"/>
  <c r="F56" i="3"/>
  <c r="E56" i="3"/>
  <c r="D56" i="3"/>
  <c r="H55" i="3"/>
  <c r="G55" i="3"/>
  <c r="F55" i="3"/>
  <c r="E55" i="3"/>
  <c r="D55" i="3"/>
  <c r="H54" i="3"/>
  <c r="G54" i="3"/>
  <c r="F54" i="3"/>
  <c r="E54" i="3"/>
  <c r="D54" i="3"/>
  <c r="H53" i="3"/>
  <c r="G53" i="3"/>
  <c r="F53" i="3"/>
  <c r="E53" i="3"/>
  <c r="D53" i="3"/>
  <c r="H52" i="3"/>
  <c r="G52" i="3"/>
  <c r="F52" i="3"/>
  <c r="E52" i="3"/>
  <c r="D52" i="3"/>
  <c r="H51" i="3"/>
  <c r="G51" i="3"/>
  <c r="F51" i="3"/>
  <c r="E51" i="3"/>
  <c r="D51" i="3"/>
  <c r="H50" i="3"/>
  <c r="G50" i="3"/>
  <c r="F50" i="3"/>
  <c r="E50" i="3"/>
  <c r="D50" i="3"/>
  <c r="H49" i="3"/>
  <c r="G49" i="3"/>
  <c r="F49" i="3"/>
  <c r="E49" i="3"/>
  <c r="D49" i="3"/>
  <c r="H48" i="3"/>
  <c r="G48" i="3"/>
  <c r="F48" i="3"/>
  <c r="E48" i="3"/>
  <c r="D48" i="3"/>
  <c r="H47" i="3"/>
  <c r="G47" i="3"/>
  <c r="F47" i="3"/>
  <c r="E47" i="3"/>
  <c r="D47" i="3"/>
  <c r="H46" i="3"/>
  <c r="G46" i="3"/>
  <c r="F46" i="3"/>
  <c r="E46" i="3"/>
  <c r="D46" i="3"/>
  <c r="H45" i="3"/>
  <c r="G45" i="3"/>
  <c r="F45" i="3"/>
  <c r="E45" i="3"/>
  <c r="D45" i="3"/>
  <c r="H44" i="3"/>
  <c r="G44" i="3"/>
  <c r="F44" i="3"/>
  <c r="E44" i="3"/>
  <c r="D44" i="3"/>
  <c r="H43" i="3"/>
  <c r="G43" i="3"/>
  <c r="F43" i="3"/>
  <c r="E43" i="3"/>
  <c r="D43" i="3"/>
  <c r="H42" i="3"/>
  <c r="G42" i="3"/>
  <c r="F42" i="3"/>
  <c r="E42" i="3"/>
  <c r="D42" i="3"/>
  <c r="H41" i="3"/>
  <c r="G41" i="3"/>
  <c r="F41" i="3"/>
  <c r="E41" i="3"/>
  <c r="D41" i="3"/>
  <c r="H40" i="3"/>
  <c r="G40" i="3"/>
  <c r="F40" i="3"/>
  <c r="E40" i="3"/>
  <c r="D40" i="3"/>
  <c r="H39" i="3"/>
  <c r="G39" i="3"/>
  <c r="F39" i="3"/>
  <c r="E39" i="3"/>
  <c r="D39" i="3"/>
  <c r="H38" i="3"/>
  <c r="G38" i="3"/>
  <c r="F38" i="3"/>
  <c r="E38" i="3"/>
  <c r="D38" i="3"/>
  <c r="H37" i="3"/>
  <c r="G37" i="3"/>
  <c r="F37" i="3"/>
  <c r="E37" i="3"/>
  <c r="D37" i="3"/>
  <c r="H36" i="3"/>
  <c r="G36" i="3"/>
  <c r="F36" i="3"/>
  <c r="E36" i="3"/>
  <c r="D36" i="3"/>
  <c r="H35" i="3"/>
  <c r="G35" i="3"/>
  <c r="F35" i="3"/>
  <c r="E35" i="3"/>
  <c r="D35" i="3"/>
  <c r="H34" i="3"/>
  <c r="G34" i="3"/>
  <c r="F34" i="3"/>
  <c r="E34" i="3"/>
  <c r="D34" i="3"/>
  <c r="H33" i="3"/>
  <c r="G33" i="3"/>
  <c r="F33" i="3"/>
  <c r="E33" i="3"/>
  <c r="D33" i="3"/>
  <c r="H32" i="3"/>
  <c r="G32" i="3"/>
  <c r="F32" i="3"/>
  <c r="E32" i="3"/>
  <c r="D32" i="3"/>
  <c r="H31" i="3"/>
  <c r="G31" i="3"/>
  <c r="F31" i="3"/>
  <c r="E31" i="3"/>
  <c r="D31" i="3"/>
  <c r="H30" i="3"/>
  <c r="G30" i="3"/>
  <c r="F30" i="3"/>
  <c r="E30" i="3"/>
  <c r="D30" i="3"/>
  <c r="H29" i="3"/>
  <c r="G29" i="3"/>
  <c r="F29" i="3"/>
  <c r="E29" i="3"/>
  <c r="D29" i="3"/>
  <c r="H28" i="3"/>
  <c r="G28" i="3"/>
  <c r="F28" i="3"/>
  <c r="E28" i="3"/>
  <c r="D28" i="3"/>
  <c r="H27" i="3"/>
  <c r="G27" i="3"/>
  <c r="F27" i="3"/>
  <c r="E27" i="3"/>
  <c r="D27" i="3"/>
  <c r="H26" i="3"/>
  <c r="G26" i="3"/>
  <c r="F26" i="3"/>
  <c r="E26" i="3"/>
  <c r="D26" i="3"/>
  <c r="H25" i="3"/>
  <c r="G25" i="3"/>
  <c r="F25" i="3"/>
  <c r="E25" i="3"/>
  <c r="D25" i="3"/>
  <c r="H24" i="3"/>
  <c r="G24" i="3"/>
  <c r="F24" i="3"/>
  <c r="E24" i="3"/>
  <c r="D24" i="3"/>
  <c r="H23" i="3"/>
  <c r="G23" i="3"/>
  <c r="F23" i="3"/>
  <c r="E23" i="3"/>
  <c r="D23" i="3"/>
  <c r="H22" i="3"/>
  <c r="G22" i="3"/>
  <c r="F22" i="3"/>
  <c r="E22" i="3"/>
  <c r="D22" i="3"/>
  <c r="H21" i="3"/>
  <c r="G21" i="3"/>
  <c r="F21" i="3"/>
  <c r="E21" i="3"/>
  <c r="D21" i="3"/>
  <c r="H20" i="3"/>
  <c r="G20" i="3"/>
  <c r="F20" i="3"/>
  <c r="E20" i="3"/>
  <c r="D20" i="3"/>
  <c r="H19" i="3"/>
  <c r="G19" i="3"/>
  <c r="F19" i="3"/>
  <c r="E19" i="3"/>
  <c r="D19" i="3"/>
  <c r="H18" i="3"/>
  <c r="G18" i="3"/>
  <c r="F18" i="3"/>
  <c r="E18" i="3"/>
  <c r="D18" i="3"/>
  <c r="H17" i="3"/>
  <c r="G17" i="3"/>
  <c r="F17" i="3"/>
  <c r="E17" i="3"/>
  <c r="D17" i="3"/>
  <c r="H16" i="3"/>
  <c r="G16" i="3"/>
  <c r="F16" i="3"/>
  <c r="E16" i="3"/>
  <c r="D16" i="3"/>
  <c r="H15" i="3"/>
  <c r="G15" i="3"/>
  <c r="F15" i="3"/>
  <c r="E15" i="3"/>
  <c r="D15" i="3"/>
  <c r="H14" i="3"/>
  <c r="G14" i="3"/>
  <c r="F14" i="3"/>
  <c r="E14" i="3"/>
  <c r="D14" i="3"/>
  <c r="H13" i="3"/>
  <c r="G13" i="3"/>
  <c r="F13" i="3"/>
  <c r="E13" i="3"/>
  <c r="D13" i="3"/>
  <c r="B13" i="3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H12" i="3"/>
  <c r="G12" i="3"/>
  <c r="F12" i="3"/>
  <c r="E12" i="3"/>
  <c r="D12" i="3"/>
  <c r="O177" i="2"/>
  <c r="R177" i="2" s="1"/>
  <c r="O176" i="2"/>
  <c r="Q177" i="2" s="1"/>
  <c r="O175" i="2"/>
  <c r="Q175" i="2" s="1"/>
  <c r="W130" i="2"/>
  <c r="Y130" i="2" s="1"/>
  <c r="Z130" i="2" s="1"/>
  <c r="R130" i="2"/>
  <c r="P130" i="2"/>
  <c r="Q130" i="2" s="1"/>
  <c r="T130" i="2" s="1"/>
  <c r="W129" i="2"/>
  <c r="Y129" i="2" s="1"/>
  <c r="R129" i="2"/>
  <c r="P129" i="2"/>
  <c r="Q129" i="2" s="1"/>
  <c r="T129" i="2" s="1"/>
  <c r="W128" i="2"/>
  <c r="R128" i="2"/>
  <c r="P128" i="2"/>
  <c r="Q128" i="2" s="1"/>
  <c r="T128" i="2" s="1"/>
  <c r="W127" i="2"/>
  <c r="R127" i="2"/>
  <c r="P127" i="2"/>
  <c r="Q127" i="2" s="1"/>
  <c r="T127" i="2" s="1"/>
  <c r="AE124" i="2"/>
  <c r="AD124" i="2"/>
  <c r="S124" i="2"/>
  <c r="N124" i="2"/>
  <c r="W123" i="2"/>
  <c r="W122" i="2"/>
  <c r="W121" i="2"/>
  <c r="W120" i="2"/>
  <c r="W119" i="2"/>
  <c r="W118" i="2"/>
  <c r="W117" i="2"/>
  <c r="W116" i="2"/>
  <c r="W115" i="2"/>
  <c r="W114" i="2"/>
  <c r="W113" i="2"/>
  <c r="W112" i="2"/>
  <c r="W111" i="2"/>
  <c r="H43" i="8"/>
  <c r="H38" i="8"/>
  <c r="H34" i="8"/>
  <c r="W97" i="2"/>
  <c r="T97" i="2"/>
  <c r="J47" i="4" s="1"/>
  <c r="Q97" i="2"/>
  <c r="W96" i="2"/>
  <c r="T96" i="2"/>
  <c r="J46" i="4" s="1"/>
  <c r="Q96" i="2"/>
  <c r="T95" i="2"/>
  <c r="J45" i="4" s="1"/>
  <c r="Q95" i="2"/>
  <c r="W94" i="2"/>
  <c r="T94" i="2"/>
  <c r="J44" i="4" s="1"/>
  <c r="Q94" i="2"/>
  <c r="W93" i="2"/>
  <c r="T93" i="2"/>
  <c r="J43" i="4" s="1"/>
  <c r="Q93" i="2"/>
  <c r="W92" i="2"/>
  <c r="T92" i="2"/>
  <c r="Q92" i="2"/>
  <c r="T91" i="2"/>
  <c r="J41" i="4" s="1"/>
  <c r="Q91" i="2"/>
  <c r="W90" i="2"/>
  <c r="T90" i="2"/>
  <c r="Q90" i="2"/>
  <c r="W89" i="2"/>
  <c r="T89" i="2"/>
  <c r="J39" i="4" s="1"/>
  <c r="Q89" i="2"/>
  <c r="W88" i="2"/>
  <c r="T88" i="2"/>
  <c r="Q88" i="2"/>
  <c r="T87" i="2"/>
  <c r="J37" i="4" s="1"/>
  <c r="Q87" i="2"/>
  <c r="W86" i="2"/>
  <c r="T86" i="2"/>
  <c r="Q86" i="2"/>
  <c r="W85" i="2"/>
  <c r="T85" i="2"/>
  <c r="Q85" i="2"/>
  <c r="W84" i="2"/>
  <c r="T84" i="2"/>
  <c r="Q84" i="2"/>
  <c r="W82" i="2"/>
  <c r="T82" i="2"/>
  <c r="J34" i="4" s="1"/>
  <c r="Q82" i="2"/>
  <c r="W81" i="2"/>
  <c r="T81" i="2"/>
  <c r="J33" i="4" s="1"/>
  <c r="Q81" i="2"/>
  <c r="W80" i="2"/>
  <c r="T80" i="2"/>
  <c r="J32" i="4" s="1"/>
  <c r="Q80" i="2"/>
  <c r="T79" i="2"/>
  <c r="J31" i="4" s="1"/>
  <c r="Q79" i="2"/>
  <c r="W78" i="2"/>
  <c r="T78" i="2"/>
  <c r="J30" i="4" s="1"/>
  <c r="Q78" i="2"/>
  <c r="W77" i="2"/>
  <c r="T77" i="2"/>
  <c r="J29" i="4" s="1"/>
  <c r="Q77" i="2"/>
  <c r="W76" i="2"/>
  <c r="T76" i="2"/>
  <c r="J28" i="4" s="1"/>
  <c r="Q76" i="2"/>
  <c r="T75" i="2"/>
  <c r="Q75" i="2"/>
  <c r="W74" i="2"/>
  <c r="T74" i="2"/>
  <c r="J26" i="4" s="1"/>
  <c r="Q74" i="2"/>
  <c r="W73" i="2"/>
  <c r="T73" i="2"/>
  <c r="Q73" i="2"/>
  <c r="W72" i="2"/>
  <c r="T72" i="2"/>
  <c r="J24" i="4" s="1"/>
  <c r="Q72" i="2"/>
  <c r="T71" i="2"/>
  <c r="Q71" i="2"/>
  <c r="W70" i="2"/>
  <c r="T70" i="2"/>
  <c r="J22" i="4" s="1"/>
  <c r="Q70" i="2"/>
  <c r="W69" i="2"/>
  <c r="T69" i="2"/>
  <c r="Q69" i="2"/>
  <c r="W68" i="2"/>
  <c r="T68" i="2"/>
  <c r="J20" i="4" s="1"/>
  <c r="Q68" i="2"/>
  <c r="W66" i="2"/>
  <c r="T66" i="2"/>
  <c r="J19" i="4" s="1"/>
  <c r="Q66" i="2"/>
  <c r="W65" i="2"/>
  <c r="T65" i="2"/>
  <c r="Q65" i="2"/>
  <c r="W64" i="2"/>
  <c r="T64" i="2"/>
  <c r="J17" i="4" s="1"/>
  <c r="Q64" i="2"/>
  <c r="T63" i="2"/>
  <c r="Q63" i="2"/>
  <c r="W62" i="2"/>
  <c r="T62" i="2"/>
  <c r="J15" i="4" s="1"/>
  <c r="Q62" i="2"/>
  <c r="W61" i="2"/>
  <c r="T61" i="2"/>
  <c r="Q61" i="2"/>
  <c r="T60" i="2"/>
  <c r="I32" i="5" s="1"/>
  <c r="W60" i="2"/>
  <c r="Q60" i="2"/>
  <c r="W57" i="2"/>
  <c r="AA57" i="2" s="1"/>
  <c r="T57" i="2"/>
  <c r="I31" i="5" s="1"/>
  <c r="W56" i="2"/>
  <c r="T56" i="2"/>
  <c r="Q56" i="2"/>
  <c r="T55" i="2"/>
  <c r="I29" i="5" s="1"/>
  <c r="Q55" i="2"/>
  <c r="W54" i="2"/>
  <c r="T54" i="2"/>
  <c r="Q54" i="2"/>
  <c r="W53" i="2"/>
  <c r="T53" i="2"/>
  <c r="I27" i="5" s="1"/>
  <c r="Q53" i="2"/>
  <c r="T51" i="2"/>
  <c r="I26" i="5" s="1"/>
  <c r="Q51" i="2"/>
  <c r="W49" i="2"/>
  <c r="W46" i="2"/>
  <c r="T46" i="2"/>
  <c r="I23" i="5" s="1"/>
  <c r="Q46" i="2"/>
  <c r="W44" i="2"/>
  <c r="T44" i="2"/>
  <c r="I22" i="5" s="1"/>
  <c r="Q44" i="2"/>
  <c r="U42" i="2"/>
  <c r="W41" i="2"/>
  <c r="T41" i="2"/>
  <c r="I21" i="5" s="1"/>
  <c r="Q41" i="2"/>
  <c r="T39" i="2"/>
  <c r="I20" i="5" s="1"/>
  <c r="Q39" i="2"/>
  <c r="W38" i="2"/>
  <c r="T38" i="2"/>
  <c r="J13" i="4" s="1"/>
  <c r="Q38" i="2"/>
  <c r="W36" i="2"/>
  <c r="T36" i="2"/>
  <c r="I18" i="5" s="1"/>
  <c r="Q36" i="2"/>
  <c r="T35" i="2"/>
  <c r="I17" i="5" s="1"/>
  <c r="Q35" i="2"/>
  <c r="W34" i="2"/>
  <c r="T34" i="2"/>
  <c r="H25" i="8"/>
  <c r="Q34" i="2"/>
  <c r="AH33" i="2"/>
  <c r="W14" i="2"/>
  <c r="R14" i="2"/>
  <c r="O49" i="2"/>
  <c r="AA6" i="2"/>
  <c r="H29" i="8" l="1"/>
  <c r="U50" i="2"/>
  <c r="AA37" i="2"/>
  <c r="Z37" i="2"/>
  <c r="H7" i="8"/>
  <c r="W42" i="2"/>
  <c r="K25" i="8"/>
  <c r="H25" i="5"/>
  <c r="W40" i="2"/>
  <c r="K24" i="8"/>
  <c r="O75" i="2"/>
  <c r="I51" i="3" s="1"/>
  <c r="M47" i="2"/>
  <c r="H39" i="8"/>
  <c r="H13" i="8"/>
  <c r="U23" i="2"/>
  <c r="K13" i="8" s="1"/>
  <c r="H17" i="8"/>
  <c r="U27" i="2"/>
  <c r="K17" i="8" s="1"/>
  <c r="H30" i="8"/>
  <c r="U52" i="2"/>
  <c r="H40" i="8"/>
  <c r="U104" i="2"/>
  <c r="H6" i="8"/>
  <c r="U16" i="2"/>
  <c r="H18" i="8"/>
  <c r="U28" i="2"/>
  <c r="H22" i="8"/>
  <c r="U32" i="2"/>
  <c r="H26" i="8"/>
  <c r="W43" i="2"/>
  <c r="AA43" i="2" s="1"/>
  <c r="O26" i="8" s="1"/>
  <c r="H21" i="8"/>
  <c r="U31" i="2"/>
  <c r="H35" i="8"/>
  <c r="U99" i="2"/>
  <c r="W99" i="2" s="1"/>
  <c r="AA99" i="2" s="1"/>
  <c r="O35" i="8" s="1"/>
  <c r="H15" i="8"/>
  <c r="U25" i="2"/>
  <c r="H19" i="8"/>
  <c r="U29" i="2"/>
  <c r="H23" i="8"/>
  <c r="U33" i="2"/>
  <c r="H27" i="8"/>
  <c r="U45" i="2"/>
  <c r="H9" i="8"/>
  <c r="U19" i="2"/>
  <c r="H44" i="8"/>
  <c r="U108" i="2"/>
  <c r="H10" i="8"/>
  <c r="U20" i="2"/>
  <c r="H12" i="8"/>
  <c r="U22" i="2"/>
  <c r="H16" i="8"/>
  <c r="U26" i="2"/>
  <c r="H20" i="8"/>
  <c r="U30" i="2"/>
  <c r="H41" i="8"/>
  <c r="U105" i="2"/>
  <c r="H37" i="8"/>
  <c r="U101" i="2"/>
  <c r="H32" i="8"/>
  <c r="U67" i="2"/>
  <c r="K32" i="8" s="1"/>
  <c r="I16" i="5"/>
  <c r="K29" i="8"/>
  <c r="H36" i="8"/>
  <c r="K36" i="8"/>
  <c r="H14" i="8"/>
  <c r="U24" i="2"/>
  <c r="H8" i="8"/>
  <c r="U18" i="2"/>
  <c r="H5" i="8"/>
  <c r="H11" i="8"/>
  <c r="U21" i="2"/>
  <c r="AA38" i="2"/>
  <c r="AA62" i="2"/>
  <c r="AA70" i="2"/>
  <c r="AA76" i="2"/>
  <c r="AA84" i="2"/>
  <c r="AA94" i="2"/>
  <c r="AA97" i="2"/>
  <c r="AA112" i="2"/>
  <c r="AA116" i="2"/>
  <c r="AA120" i="2"/>
  <c r="AA46" i="2"/>
  <c r="AA49" i="2"/>
  <c r="AA53" i="2"/>
  <c r="AA60" i="2"/>
  <c r="AA64" i="2"/>
  <c r="AA72" i="2"/>
  <c r="AA82" i="2"/>
  <c r="AA90" i="2"/>
  <c r="AA96" i="2"/>
  <c r="AA128" i="2"/>
  <c r="AA68" i="2"/>
  <c r="AA89" i="2"/>
  <c r="AA114" i="2"/>
  <c r="AA118" i="2"/>
  <c r="AA122" i="2"/>
  <c r="H31" i="8"/>
  <c r="H33" i="8"/>
  <c r="AA86" i="2"/>
  <c r="AA36" i="2"/>
  <c r="AA40" i="2"/>
  <c r="O24" i="8" s="1"/>
  <c r="AA41" i="2"/>
  <c r="AA42" i="2"/>
  <c r="O25" i="8" s="1"/>
  <c r="AA66" i="2"/>
  <c r="AA74" i="2"/>
  <c r="AA77" i="2"/>
  <c r="AA85" i="2"/>
  <c r="AA127" i="2"/>
  <c r="M58" i="2"/>
  <c r="O58" i="2"/>
  <c r="O83" i="2"/>
  <c r="M83" i="2"/>
  <c r="R175" i="2"/>
  <c r="AA55" i="2"/>
  <c r="AA47" i="2"/>
  <c r="K21" i="8"/>
  <c r="W19" i="2"/>
  <c r="AA19" i="2" s="1"/>
  <c r="O9" i="8" s="1"/>
  <c r="AA95" i="2"/>
  <c r="AA79" i="2"/>
  <c r="AA35" i="2"/>
  <c r="AA91" i="2"/>
  <c r="AA51" i="2"/>
  <c r="Z129" i="2"/>
  <c r="W107" i="2"/>
  <c r="AA107" i="2" s="1"/>
  <c r="O43" i="8" s="1"/>
  <c r="W103" i="2"/>
  <c r="AA103" i="2" s="1"/>
  <c r="O39" i="8" s="1"/>
  <c r="AA87" i="2"/>
  <c r="AA39" i="2"/>
  <c r="T5" i="7"/>
  <c r="M101" i="2"/>
  <c r="O101" i="2"/>
  <c r="M50" i="4"/>
  <c r="K56" i="6"/>
  <c r="M18" i="2"/>
  <c r="O25" i="2"/>
  <c r="AA14" i="2"/>
  <c r="M15" i="2"/>
  <c r="M17" i="2"/>
  <c r="M19" i="2"/>
  <c r="M21" i="2"/>
  <c r="M23" i="2"/>
  <c r="M26" i="2"/>
  <c r="O29" i="2"/>
  <c r="O31" i="2"/>
  <c r="M32" i="2"/>
  <c r="O33" i="2"/>
  <c r="H35" i="6" s="1"/>
  <c r="M39" i="2"/>
  <c r="M43" i="2"/>
  <c r="O65" i="2"/>
  <c r="J21" i="4"/>
  <c r="I33" i="5"/>
  <c r="G12" i="5"/>
  <c r="G11" i="6"/>
  <c r="H9" i="4"/>
  <c r="O123" i="2"/>
  <c r="O121" i="2"/>
  <c r="O119" i="2"/>
  <c r="O117" i="2"/>
  <c r="O115" i="2"/>
  <c r="O113" i="2"/>
  <c r="O111" i="2"/>
  <c r="O107" i="2"/>
  <c r="O105" i="2"/>
  <c r="O103" i="2"/>
  <c r="M123" i="2"/>
  <c r="M121" i="2"/>
  <c r="M119" i="2"/>
  <c r="M117" i="2"/>
  <c r="M115" i="2"/>
  <c r="M113" i="2"/>
  <c r="M111" i="2"/>
  <c r="M107" i="2"/>
  <c r="M105" i="2"/>
  <c r="M103" i="2"/>
  <c r="O99" i="2"/>
  <c r="O97" i="2"/>
  <c r="O122" i="2"/>
  <c r="O120" i="2"/>
  <c r="O118" i="2"/>
  <c r="O116" i="2"/>
  <c r="O114" i="2"/>
  <c r="O112" i="2"/>
  <c r="O108" i="2"/>
  <c r="O106" i="2"/>
  <c r="O102" i="2"/>
  <c r="M99" i="2"/>
  <c r="M97" i="2"/>
  <c r="O95" i="2"/>
  <c r="M92" i="2"/>
  <c r="M90" i="2"/>
  <c r="M88" i="2"/>
  <c r="M86" i="2"/>
  <c r="M84" i="2"/>
  <c r="O82" i="2"/>
  <c r="M122" i="2"/>
  <c r="M120" i="2"/>
  <c r="M118" i="2"/>
  <c r="M116" i="2"/>
  <c r="M114" i="2"/>
  <c r="M112" i="2"/>
  <c r="M108" i="2"/>
  <c r="M106" i="2"/>
  <c r="M102" i="2"/>
  <c r="O100" i="2"/>
  <c r="O98" i="2"/>
  <c r="O96" i="2"/>
  <c r="M95" i="2"/>
  <c r="O93" i="2"/>
  <c r="M96" i="2"/>
  <c r="O92" i="2"/>
  <c r="O89" i="2"/>
  <c r="O88" i="2"/>
  <c r="M87" i="2"/>
  <c r="O81" i="2"/>
  <c r="O80" i="2"/>
  <c r="O78" i="2"/>
  <c r="M75" i="2"/>
  <c r="M73" i="2"/>
  <c r="M71" i="2"/>
  <c r="M69" i="2"/>
  <c r="M67" i="2"/>
  <c r="M65" i="2"/>
  <c r="M63" i="2"/>
  <c r="M61" i="2"/>
  <c r="M59" i="2"/>
  <c r="M56" i="2"/>
  <c r="M54" i="2"/>
  <c r="M52" i="2"/>
  <c r="O50" i="2"/>
  <c r="O48" i="2"/>
  <c r="O46" i="2"/>
  <c r="O44" i="2"/>
  <c r="O42" i="2"/>
  <c r="H36" i="6" s="1"/>
  <c r="O38" i="2"/>
  <c r="O36" i="2"/>
  <c r="O34" i="2"/>
  <c r="M33" i="2"/>
  <c r="M31" i="2"/>
  <c r="O94" i="2"/>
  <c r="O91" i="2"/>
  <c r="O90" i="2"/>
  <c r="M89" i="2"/>
  <c r="M82" i="2"/>
  <c r="M81" i="2"/>
  <c r="M80" i="2"/>
  <c r="M78" i="2"/>
  <c r="O76" i="2"/>
  <c r="O74" i="2"/>
  <c r="O72" i="2"/>
  <c r="O70" i="2"/>
  <c r="O68" i="2"/>
  <c r="O66" i="2"/>
  <c r="O64" i="2"/>
  <c r="O62" i="2"/>
  <c r="O60" i="2"/>
  <c r="O57" i="2"/>
  <c r="O55" i="2"/>
  <c r="O53" i="2"/>
  <c r="O51" i="2"/>
  <c r="M50" i="2"/>
  <c r="M48" i="2"/>
  <c r="M46" i="2"/>
  <c r="M44" i="2"/>
  <c r="M42" i="2"/>
  <c r="M38" i="2"/>
  <c r="M36" i="2"/>
  <c r="M34" i="2"/>
  <c r="O32" i="2"/>
  <c r="O30" i="2"/>
  <c r="O28" i="2"/>
  <c r="O26" i="2"/>
  <c r="O24" i="2"/>
  <c r="M100" i="2"/>
  <c r="M94" i="2"/>
  <c r="M91" i="2"/>
  <c r="O85" i="2"/>
  <c r="O84" i="2"/>
  <c r="O79" i="2"/>
  <c r="O77" i="2"/>
  <c r="M76" i="2"/>
  <c r="M74" i="2"/>
  <c r="M72" i="2"/>
  <c r="M70" i="2"/>
  <c r="M68" i="2"/>
  <c r="M66" i="2"/>
  <c r="M64" i="2"/>
  <c r="M62" i="2"/>
  <c r="M60" i="2"/>
  <c r="M57" i="2"/>
  <c r="M55" i="2"/>
  <c r="M53" i="2"/>
  <c r="M51" i="2"/>
  <c r="O15" i="2"/>
  <c r="O17" i="2"/>
  <c r="O19" i="2"/>
  <c r="O21" i="2"/>
  <c r="O23" i="2"/>
  <c r="M25" i="2"/>
  <c r="M28" i="2"/>
  <c r="M35" i="2"/>
  <c r="O39" i="2"/>
  <c r="O43" i="2"/>
  <c r="M45" i="2"/>
  <c r="V124" i="2"/>
  <c r="W50" i="2"/>
  <c r="I28" i="5"/>
  <c r="J14" i="4"/>
  <c r="O67" i="2"/>
  <c r="O69" i="2"/>
  <c r="J23" i="4"/>
  <c r="M77" i="2"/>
  <c r="AA78" i="2"/>
  <c r="AA80" i="2"/>
  <c r="M85" i="2"/>
  <c r="O87" i="2"/>
  <c r="M14" i="2"/>
  <c r="M20" i="2"/>
  <c r="M41" i="2"/>
  <c r="O52" i="2"/>
  <c r="O54" i="2"/>
  <c r="I30" i="5"/>
  <c r="O59" i="2"/>
  <c r="O61" i="2"/>
  <c r="J16" i="4"/>
  <c r="O71" i="2"/>
  <c r="J25" i="4"/>
  <c r="M79" i="2"/>
  <c r="J36" i="4"/>
  <c r="AA92" i="2"/>
  <c r="H4" i="8"/>
  <c r="R124" i="2"/>
  <c r="M16" i="2"/>
  <c r="M22" i="2"/>
  <c r="M27" i="2"/>
  <c r="M30" i="2"/>
  <c r="O35" i="2"/>
  <c r="O45" i="2"/>
  <c r="O14" i="2"/>
  <c r="O16" i="2"/>
  <c r="O18" i="2"/>
  <c r="O20" i="2"/>
  <c r="O22" i="2"/>
  <c r="M24" i="2"/>
  <c r="O27" i="2"/>
  <c r="M29" i="2"/>
  <c r="AA34" i="2"/>
  <c r="O41" i="2"/>
  <c r="AA44" i="2"/>
  <c r="O47" i="2"/>
  <c r="H24" i="5" s="1"/>
  <c r="O56" i="2"/>
  <c r="O63" i="2"/>
  <c r="J18" i="4"/>
  <c r="O73" i="2"/>
  <c r="J27" i="4"/>
  <c r="AA81" i="2"/>
  <c r="O86" i="2"/>
  <c r="AA88" i="2"/>
  <c r="M93" i="2"/>
  <c r="M98" i="2"/>
  <c r="AA54" i="2"/>
  <c r="AA56" i="2"/>
  <c r="AA61" i="2"/>
  <c r="AA63" i="2"/>
  <c r="AA65" i="2"/>
  <c r="AA69" i="2"/>
  <c r="AA71" i="2"/>
  <c r="AA73" i="2"/>
  <c r="AA75" i="2"/>
  <c r="J35" i="4"/>
  <c r="J40" i="4"/>
  <c r="J38" i="4"/>
  <c r="J42" i="4"/>
  <c r="AA93" i="2"/>
  <c r="AA111" i="2"/>
  <c r="AA113" i="2"/>
  <c r="AA115" i="2"/>
  <c r="AA117" i="2"/>
  <c r="AA119" i="2"/>
  <c r="AA121" i="2"/>
  <c r="AA123" i="2"/>
  <c r="Y128" i="2"/>
  <c r="Z128" i="2" s="1"/>
  <c r="AB128" i="2" s="1"/>
  <c r="AA129" i="2"/>
  <c r="AA130" i="2"/>
  <c r="AB130" i="2" s="1"/>
  <c r="K34" i="5"/>
  <c r="L56" i="6"/>
  <c r="N56" i="6"/>
  <c r="T7" i="7"/>
  <c r="T9" i="7"/>
  <c r="D46" i="8"/>
  <c r="R46" i="8"/>
  <c r="H39" i="6" l="1"/>
  <c r="E28" i="8"/>
  <c r="AB37" i="2"/>
  <c r="AF37" i="2" s="1"/>
  <c r="AG37" i="2" s="1"/>
  <c r="AB129" i="2"/>
  <c r="I27" i="4"/>
  <c r="E25" i="8"/>
  <c r="F25" i="8" s="1"/>
  <c r="P75" i="2"/>
  <c r="X75" i="2"/>
  <c r="Y75" i="2" s="1"/>
  <c r="Z75" i="2" s="1"/>
  <c r="E24" i="8"/>
  <c r="W23" i="2"/>
  <c r="AA23" i="2" s="1"/>
  <c r="O13" i="8" s="1"/>
  <c r="H43" i="6"/>
  <c r="E32" i="8"/>
  <c r="H40" i="6"/>
  <c r="E29" i="8"/>
  <c r="T29" i="8" s="1"/>
  <c r="K9" i="8"/>
  <c r="K43" i="8"/>
  <c r="W67" i="2"/>
  <c r="AA67" i="2" s="1"/>
  <c r="O32" i="8" s="1"/>
  <c r="W31" i="2"/>
  <c r="AA31" i="2" s="1"/>
  <c r="O21" i="8" s="1"/>
  <c r="H46" i="8"/>
  <c r="K26" i="8"/>
  <c r="W27" i="2"/>
  <c r="AA27" i="2" s="1"/>
  <c r="O17" i="8" s="1"/>
  <c r="K33" i="8"/>
  <c r="W83" i="2"/>
  <c r="AA83" i="2" s="1"/>
  <c r="O33" i="8" s="1"/>
  <c r="W58" i="2"/>
  <c r="AA58" i="2" s="1"/>
  <c r="O31" i="8" s="1"/>
  <c r="K31" i="8"/>
  <c r="W100" i="2"/>
  <c r="AA100" i="2" s="1"/>
  <c r="O36" i="8" s="1"/>
  <c r="AA59" i="2"/>
  <c r="P58" i="2"/>
  <c r="Q58" i="2" s="1"/>
  <c r="E31" i="8"/>
  <c r="T31" i="8" s="1"/>
  <c r="H42" i="6"/>
  <c r="E33" i="8"/>
  <c r="T33" i="8" s="1"/>
  <c r="H44" i="6"/>
  <c r="P83" i="2"/>
  <c r="Q83" i="2" s="1"/>
  <c r="K39" i="8"/>
  <c r="K35" i="8"/>
  <c r="K6" i="8"/>
  <c r="W16" i="2"/>
  <c r="AA16" i="2" s="1"/>
  <c r="O6" i="8" s="1"/>
  <c r="K22" i="8"/>
  <c r="W32" i="2"/>
  <c r="AA32" i="2" s="1"/>
  <c r="O22" i="8" s="1"/>
  <c r="K7" i="8"/>
  <c r="W17" i="2"/>
  <c r="AA17" i="2" s="1"/>
  <c r="O7" i="8" s="1"/>
  <c r="K23" i="8"/>
  <c r="W33" i="2"/>
  <c r="AA33" i="2" s="1"/>
  <c r="O23" i="8" s="1"/>
  <c r="K8" i="8"/>
  <c r="W18" i="2"/>
  <c r="AA18" i="2" s="1"/>
  <c r="O8" i="8" s="1"/>
  <c r="W98" i="2"/>
  <c r="AA98" i="2" s="1"/>
  <c r="O34" i="8" s="1"/>
  <c r="K34" i="8"/>
  <c r="K10" i="8"/>
  <c r="W20" i="2"/>
  <c r="AA20" i="2" s="1"/>
  <c r="O10" i="8" s="1"/>
  <c r="K11" i="8"/>
  <c r="W21" i="2"/>
  <c r="AA21" i="2" s="1"/>
  <c r="O11" i="8" s="1"/>
  <c r="K12" i="8"/>
  <c r="W22" i="2"/>
  <c r="AA22" i="2" s="1"/>
  <c r="O12" i="8" s="1"/>
  <c r="K27" i="8"/>
  <c r="W45" i="2"/>
  <c r="AA45" i="2" s="1"/>
  <c r="O27" i="8" s="1"/>
  <c r="K37" i="8"/>
  <c r="W101" i="2"/>
  <c r="AA101" i="2" s="1"/>
  <c r="O37" i="8" s="1"/>
  <c r="K38" i="8"/>
  <c r="W102" i="2"/>
  <c r="AA102" i="2" s="1"/>
  <c r="O38" i="8" s="1"/>
  <c r="W24" i="2"/>
  <c r="AA24" i="2" s="1"/>
  <c r="O14" i="8" s="1"/>
  <c r="K14" i="8"/>
  <c r="W48" i="2"/>
  <c r="AA48" i="2" s="1"/>
  <c r="K15" i="8"/>
  <c r="W25" i="2"/>
  <c r="AA25" i="2" s="1"/>
  <c r="O15" i="8" s="1"/>
  <c r="K40" i="8"/>
  <c r="W104" i="2"/>
  <c r="AA104" i="2" s="1"/>
  <c r="O40" i="8" s="1"/>
  <c r="W26" i="2"/>
  <c r="AA26" i="2" s="1"/>
  <c r="O16" i="8" s="1"/>
  <c r="K16" i="8"/>
  <c r="K30" i="8"/>
  <c r="W52" i="2"/>
  <c r="AA52" i="2" s="1"/>
  <c r="O30" i="8" s="1"/>
  <c r="K41" i="8"/>
  <c r="W105" i="2"/>
  <c r="AA105" i="2" s="1"/>
  <c r="O41" i="8" s="1"/>
  <c r="K42" i="8"/>
  <c r="W106" i="2"/>
  <c r="AA106" i="2" s="1"/>
  <c r="O42" i="8" s="1"/>
  <c r="U124" i="2"/>
  <c r="W28" i="2"/>
  <c r="AA28" i="2" s="1"/>
  <c r="O18" i="8" s="1"/>
  <c r="K18" i="8"/>
  <c r="K19" i="8"/>
  <c r="W29" i="2"/>
  <c r="AA29" i="2" s="1"/>
  <c r="O19" i="8" s="1"/>
  <c r="W108" i="2"/>
  <c r="AA108" i="2" s="1"/>
  <c r="O44" i="8" s="1"/>
  <c r="K44" i="8"/>
  <c r="W30" i="2"/>
  <c r="AA30" i="2" s="1"/>
  <c r="O20" i="8" s="1"/>
  <c r="K20" i="8"/>
  <c r="K5" i="8"/>
  <c r="W15" i="2"/>
  <c r="AA15" i="2" s="1"/>
  <c r="O5" i="8" s="1"/>
  <c r="J50" i="4"/>
  <c r="I64" i="3"/>
  <c r="P47" i="2"/>
  <c r="Q47" i="2" s="1"/>
  <c r="T47" i="2" s="1"/>
  <c r="I24" i="5" s="1"/>
  <c r="E6" i="8"/>
  <c r="T6" i="8" s="1"/>
  <c r="H17" i="6"/>
  <c r="I42" i="3"/>
  <c r="P16" i="2"/>
  <c r="Q16" i="2" s="1"/>
  <c r="I23" i="4"/>
  <c r="I47" i="3"/>
  <c r="X71" i="2"/>
  <c r="Y71" i="2" s="1"/>
  <c r="Z71" i="2" s="1"/>
  <c r="AB71" i="2" s="1"/>
  <c r="P71" i="2"/>
  <c r="I14" i="4"/>
  <c r="I13" i="3"/>
  <c r="X61" i="2"/>
  <c r="Y61" i="2" s="1"/>
  <c r="Z61" i="2" s="1"/>
  <c r="AB61" i="2" s="1"/>
  <c r="P61" i="2"/>
  <c r="I21" i="4"/>
  <c r="I41" i="3"/>
  <c r="X69" i="2"/>
  <c r="Y69" i="2" s="1"/>
  <c r="Z69" i="2" s="1"/>
  <c r="AB69" i="2" s="1"/>
  <c r="P69" i="2"/>
  <c r="E9" i="8"/>
  <c r="T9" i="8" s="1"/>
  <c r="H20" i="6"/>
  <c r="I33" i="3"/>
  <c r="P19" i="2"/>
  <c r="Q19" i="2" s="1"/>
  <c r="I35" i="4"/>
  <c r="I69" i="3"/>
  <c r="X84" i="2"/>
  <c r="Y84" i="2" s="1"/>
  <c r="Z84" i="2" s="1"/>
  <c r="AB84" i="2" s="1"/>
  <c r="P84" i="2"/>
  <c r="E20" i="8"/>
  <c r="T20" i="8" s="1"/>
  <c r="I84" i="3"/>
  <c r="H31" i="6"/>
  <c r="P30" i="2"/>
  <c r="Q30" i="2" s="1"/>
  <c r="I63" i="3"/>
  <c r="H27" i="5"/>
  <c r="P53" i="2"/>
  <c r="X53" i="2"/>
  <c r="Y53" i="2" s="1"/>
  <c r="Z53" i="2" s="1"/>
  <c r="AB53" i="2" s="1"/>
  <c r="I15" i="4"/>
  <c r="I23" i="3"/>
  <c r="P62" i="2"/>
  <c r="X62" i="2"/>
  <c r="Y62" i="2" s="1"/>
  <c r="Z62" i="2" s="1"/>
  <c r="AB62" i="2" s="1"/>
  <c r="I22" i="4"/>
  <c r="I44" i="3"/>
  <c r="P70" i="2"/>
  <c r="X70" i="2"/>
  <c r="Y70" i="2" s="1"/>
  <c r="Z70" i="2" s="1"/>
  <c r="AB70" i="2" s="1"/>
  <c r="I67" i="3"/>
  <c r="I93" i="3"/>
  <c r="I44" i="4"/>
  <c r="X94" i="2"/>
  <c r="Y94" i="2" s="1"/>
  <c r="Z94" i="2" s="1"/>
  <c r="AB94" i="2" s="1"/>
  <c r="P94" i="2"/>
  <c r="H18" i="5"/>
  <c r="I29" i="3"/>
  <c r="P36" i="2"/>
  <c r="X36" i="2"/>
  <c r="Y36" i="2" s="1"/>
  <c r="Z36" i="2" s="1"/>
  <c r="AB36" i="2" s="1"/>
  <c r="H22" i="5"/>
  <c r="I54" i="3"/>
  <c r="X44" i="2"/>
  <c r="Y44" i="2" s="1"/>
  <c r="Z44" i="2" s="1"/>
  <c r="AB44" i="2" s="1"/>
  <c r="P44" i="2"/>
  <c r="I30" i="4"/>
  <c r="I57" i="3"/>
  <c r="X78" i="2"/>
  <c r="Y78" i="2" s="1"/>
  <c r="Z78" i="2" s="1"/>
  <c r="AB78" i="2" s="1"/>
  <c r="P78" i="2"/>
  <c r="I38" i="4"/>
  <c r="I79" i="3"/>
  <c r="X88" i="2"/>
  <c r="Y88" i="2" s="1"/>
  <c r="Z88" i="2" s="1"/>
  <c r="AB88" i="2" s="1"/>
  <c r="P88" i="2"/>
  <c r="I43" i="4"/>
  <c r="I88" i="3"/>
  <c r="P93" i="2"/>
  <c r="X93" i="2"/>
  <c r="Y93" i="2" s="1"/>
  <c r="Z93" i="2" s="1"/>
  <c r="AB93" i="2" s="1"/>
  <c r="E36" i="8"/>
  <c r="T36" i="8" s="1"/>
  <c r="H47" i="6"/>
  <c r="I92" i="3"/>
  <c r="P100" i="2"/>
  <c r="Q100" i="2" s="1"/>
  <c r="I34" i="4"/>
  <c r="I62" i="3"/>
  <c r="P82" i="2"/>
  <c r="X82" i="2"/>
  <c r="Y82" i="2" s="1"/>
  <c r="Z82" i="2" s="1"/>
  <c r="AB82" i="2" s="1"/>
  <c r="E44" i="8"/>
  <c r="H55" i="6"/>
  <c r="I87" i="3"/>
  <c r="P108" i="2"/>
  <c r="Q108" i="2" s="1"/>
  <c r="P116" i="2"/>
  <c r="Q116" i="2" s="1"/>
  <c r="T116" i="2" s="1"/>
  <c r="X116" i="2" s="1"/>
  <c r="Y116" i="2" s="1"/>
  <c r="Z116" i="2" s="1"/>
  <c r="AB116" i="2" s="1"/>
  <c r="I47" i="4"/>
  <c r="I101" i="3"/>
  <c r="X97" i="2"/>
  <c r="Y97" i="2" s="1"/>
  <c r="Z97" i="2" s="1"/>
  <c r="AB97" i="2" s="1"/>
  <c r="P97" i="2"/>
  <c r="E41" i="8"/>
  <c r="T41" i="8" s="1"/>
  <c r="H52" i="6"/>
  <c r="I99" i="3"/>
  <c r="P105" i="2"/>
  <c r="Q105" i="2" s="1"/>
  <c r="P113" i="2"/>
  <c r="Q113" i="2" s="1"/>
  <c r="T113" i="2" s="1"/>
  <c r="P121" i="2"/>
  <c r="Q121" i="2" s="1"/>
  <c r="T121" i="2" s="1"/>
  <c r="X121" i="2" s="1"/>
  <c r="Y121" i="2" s="1"/>
  <c r="Z121" i="2" s="1"/>
  <c r="AB121" i="2" s="1"/>
  <c r="AB75" i="2"/>
  <c r="E19" i="8"/>
  <c r="T19" i="8" s="1"/>
  <c r="H30" i="6"/>
  <c r="I28" i="3"/>
  <c r="P29" i="2"/>
  <c r="Q29" i="2" s="1"/>
  <c r="I25" i="4"/>
  <c r="I50" i="3"/>
  <c r="X73" i="2"/>
  <c r="Y73" i="2" s="1"/>
  <c r="Z73" i="2" s="1"/>
  <c r="AB73" i="2" s="1"/>
  <c r="P73" i="2"/>
  <c r="I19" i="3"/>
  <c r="I16" i="4"/>
  <c r="X63" i="2"/>
  <c r="Y63" i="2" s="1"/>
  <c r="Z63" i="2" s="1"/>
  <c r="AB63" i="2" s="1"/>
  <c r="P63" i="2"/>
  <c r="E12" i="8"/>
  <c r="T12" i="8" s="1"/>
  <c r="H23" i="6"/>
  <c r="I34" i="3"/>
  <c r="P22" i="2"/>
  <c r="Q22" i="2" s="1"/>
  <c r="E4" i="8"/>
  <c r="S4" i="8" s="1"/>
  <c r="H15" i="6"/>
  <c r="I15" i="3"/>
  <c r="O124" i="2"/>
  <c r="P14" i="2"/>
  <c r="H17" i="5"/>
  <c r="I12" i="3"/>
  <c r="X35" i="2"/>
  <c r="Y35" i="2" s="1"/>
  <c r="Z35" i="2" s="1"/>
  <c r="AB35" i="2" s="1"/>
  <c r="P35" i="2"/>
  <c r="I103" i="3"/>
  <c r="P59" i="2"/>
  <c r="Q59" i="2" s="1"/>
  <c r="H28" i="5"/>
  <c r="I89" i="3"/>
  <c r="X54" i="2"/>
  <c r="Y54" i="2" s="1"/>
  <c r="Z54" i="2" s="1"/>
  <c r="AB54" i="2" s="1"/>
  <c r="P54" i="2"/>
  <c r="I35" i="3"/>
  <c r="P67" i="2"/>
  <c r="Q67" i="2" s="1"/>
  <c r="G32" i="8" s="1"/>
  <c r="AA50" i="2"/>
  <c r="O29" i="8" s="1"/>
  <c r="E26" i="8"/>
  <c r="T26" i="8" s="1"/>
  <c r="H37" i="6"/>
  <c r="I97" i="3"/>
  <c r="P43" i="2"/>
  <c r="Q43" i="2" s="1"/>
  <c r="E7" i="8"/>
  <c r="T7" i="8" s="1"/>
  <c r="H18" i="6"/>
  <c r="I39" i="3"/>
  <c r="P17" i="2"/>
  <c r="Q17" i="2" s="1"/>
  <c r="I52" i="3"/>
  <c r="I29" i="4"/>
  <c r="X77" i="2"/>
  <c r="Y77" i="2" s="1"/>
  <c r="Z77" i="2" s="1"/>
  <c r="AB77" i="2" s="1"/>
  <c r="P77" i="2"/>
  <c r="H33" i="5"/>
  <c r="I73" i="3"/>
  <c r="P85" i="2"/>
  <c r="X85" i="2"/>
  <c r="Y85" i="2" s="1"/>
  <c r="Z85" i="2" s="1"/>
  <c r="AB85" i="2" s="1"/>
  <c r="E14" i="8"/>
  <c r="T14" i="8" s="1"/>
  <c r="H25" i="6"/>
  <c r="I71" i="3"/>
  <c r="P24" i="2"/>
  <c r="Q24" i="2" s="1"/>
  <c r="H34" i="6"/>
  <c r="E22" i="8"/>
  <c r="T22" i="8" s="1"/>
  <c r="I65" i="3"/>
  <c r="P32" i="2"/>
  <c r="Q32" i="2" s="1"/>
  <c r="H29" i="5"/>
  <c r="I91" i="3"/>
  <c r="P55" i="2"/>
  <c r="X55" i="2"/>
  <c r="Y55" i="2" s="1"/>
  <c r="Z55" i="2" s="1"/>
  <c r="AB55" i="2" s="1"/>
  <c r="I20" i="3"/>
  <c r="I17" i="4"/>
  <c r="P64" i="2"/>
  <c r="X64" i="2"/>
  <c r="Y64" i="2" s="1"/>
  <c r="Z64" i="2" s="1"/>
  <c r="AB64" i="2" s="1"/>
  <c r="I24" i="4"/>
  <c r="I48" i="3"/>
  <c r="P72" i="2"/>
  <c r="X72" i="2"/>
  <c r="Y72" i="2" s="1"/>
  <c r="Z72" i="2" s="1"/>
  <c r="AB72" i="2" s="1"/>
  <c r="I13" i="4"/>
  <c r="I66" i="3"/>
  <c r="X38" i="2"/>
  <c r="Y38" i="2" s="1"/>
  <c r="Z38" i="2" s="1"/>
  <c r="AB38" i="2" s="1"/>
  <c r="P38" i="2"/>
  <c r="H23" i="5"/>
  <c r="I58" i="3"/>
  <c r="X46" i="2"/>
  <c r="Y46" i="2" s="1"/>
  <c r="Z46" i="2" s="1"/>
  <c r="AB46" i="2" s="1"/>
  <c r="P46" i="2"/>
  <c r="I32" i="4"/>
  <c r="I60" i="3"/>
  <c r="X80" i="2"/>
  <c r="Y80" i="2" s="1"/>
  <c r="Z80" i="2" s="1"/>
  <c r="AB80" i="2" s="1"/>
  <c r="P80" i="2"/>
  <c r="I39" i="4"/>
  <c r="I80" i="3"/>
  <c r="P89" i="2"/>
  <c r="X89" i="2"/>
  <c r="Y89" i="2" s="1"/>
  <c r="Z89" i="2" s="1"/>
  <c r="AB89" i="2" s="1"/>
  <c r="E38" i="8"/>
  <c r="T38" i="8" s="1"/>
  <c r="H49" i="6"/>
  <c r="I75" i="3"/>
  <c r="P102" i="2"/>
  <c r="Q102" i="2" s="1"/>
  <c r="P118" i="2"/>
  <c r="Q118" i="2" s="1"/>
  <c r="T118" i="2" s="1"/>
  <c r="X118" i="2" s="1"/>
  <c r="Y118" i="2" s="1"/>
  <c r="Z118" i="2" s="1"/>
  <c r="AB118" i="2" s="1"/>
  <c r="E35" i="8"/>
  <c r="T35" i="8" s="1"/>
  <c r="H46" i="6"/>
  <c r="I45" i="3"/>
  <c r="P99" i="2"/>
  <c r="Q99" i="2" s="1"/>
  <c r="E43" i="8"/>
  <c r="T43" i="8" s="1"/>
  <c r="H54" i="6"/>
  <c r="I18" i="3"/>
  <c r="P107" i="2"/>
  <c r="Q107" i="2" s="1"/>
  <c r="P115" i="2"/>
  <c r="Q115" i="2" s="1"/>
  <c r="T115" i="2" s="1"/>
  <c r="X115" i="2" s="1"/>
  <c r="Y115" i="2" s="1"/>
  <c r="Z115" i="2" s="1"/>
  <c r="AB115" i="2" s="1"/>
  <c r="P123" i="2"/>
  <c r="Q123" i="2" s="1"/>
  <c r="T123" i="2" s="1"/>
  <c r="X123" i="2" s="1"/>
  <c r="Y123" i="2" s="1"/>
  <c r="Z123" i="2" s="1"/>
  <c r="AB123" i="2" s="1"/>
  <c r="I18" i="4"/>
  <c r="I21" i="3"/>
  <c r="X65" i="2"/>
  <c r="Y65" i="2" s="1"/>
  <c r="Z65" i="2" s="1"/>
  <c r="AB65" i="2" s="1"/>
  <c r="P65" i="2"/>
  <c r="H19" i="5"/>
  <c r="I30" i="3"/>
  <c r="E15" i="8"/>
  <c r="T15" i="8" s="1"/>
  <c r="H26" i="6"/>
  <c r="I25" i="3"/>
  <c r="P25" i="2"/>
  <c r="Q25" i="2" s="1"/>
  <c r="H21" i="5"/>
  <c r="I49" i="3"/>
  <c r="X41" i="2"/>
  <c r="Y41" i="2" s="1"/>
  <c r="Z41" i="2" s="1"/>
  <c r="AB41" i="2" s="1"/>
  <c r="P41" i="2"/>
  <c r="E10" i="8"/>
  <c r="T10" i="8" s="1"/>
  <c r="H21" i="6"/>
  <c r="I40" i="3"/>
  <c r="P20" i="2"/>
  <c r="Q20" i="2" s="1"/>
  <c r="E27" i="8"/>
  <c r="T27" i="8" s="1"/>
  <c r="H38" i="6"/>
  <c r="I37" i="3"/>
  <c r="P45" i="2"/>
  <c r="Q45" i="2" s="1"/>
  <c r="E30" i="8"/>
  <c r="T30" i="8" s="1"/>
  <c r="H41" i="6"/>
  <c r="I85" i="3"/>
  <c r="P52" i="2"/>
  <c r="Q52" i="2" s="1"/>
  <c r="M124" i="2"/>
  <c r="H20" i="5"/>
  <c r="I38" i="3"/>
  <c r="X39" i="2"/>
  <c r="Y39" i="2" s="1"/>
  <c r="Z39" i="2" s="1"/>
  <c r="AB39" i="2" s="1"/>
  <c r="P39" i="2"/>
  <c r="E13" i="8"/>
  <c r="T13" i="8" s="1"/>
  <c r="H24" i="6"/>
  <c r="I46" i="3"/>
  <c r="P23" i="2"/>
  <c r="Q23" i="2" s="1"/>
  <c r="E5" i="8"/>
  <c r="H16" i="6"/>
  <c r="I17" i="3"/>
  <c r="P15" i="2"/>
  <c r="Q15" i="2" s="1"/>
  <c r="I31" i="4"/>
  <c r="I59" i="3"/>
  <c r="X79" i="2"/>
  <c r="Y79" i="2" s="1"/>
  <c r="Z79" i="2" s="1"/>
  <c r="AB79" i="2" s="1"/>
  <c r="P79" i="2"/>
  <c r="E16" i="8"/>
  <c r="T16" i="8" s="1"/>
  <c r="H27" i="6"/>
  <c r="I55" i="3"/>
  <c r="P26" i="2"/>
  <c r="Q26" i="2" s="1"/>
  <c r="H31" i="5"/>
  <c r="I96" i="3"/>
  <c r="P57" i="2"/>
  <c r="X57" i="2"/>
  <c r="Y57" i="2" s="1"/>
  <c r="Z57" i="2" s="1"/>
  <c r="AB57" i="2" s="1"/>
  <c r="I19" i="4"/>
  <c r="I26" i="3"/>
  <c r="P66" i="2"/>
  <c r="X66" i="2"/>
  <c r="Y66" i="2" s="1"/>
  <c r="Z66" i="2" s="1"/>
  <c r="AB66" i="2" s="1"/>
  <c r="I26" i="4"/>
  <c r="I22" i="3"/>
  <c r="P74" i="2"/>
  <c r="X74" i="2"/>
  <c r="Y74" i="2" s="1"/>
  <c r="Z74" i="2" s="1"/>
  <c r="AB74" i="2" s="1"/>
  <c r="I40" i="4"/>
  <c r="I81" i="3"/>
  <c r="P90" i="2"/>
  <c r="X90" i="2"/>
  <c r="Y90" i="2" s="1"/>
  <c r="Z90" i="2" s="1"/>
  <c r="AB90" i="2" s="1"/>
  <c r="I16" i="3"/>
  <c r="P40" i="2"/>
  <c r="Q40" i="2" s="1"/>
  <c r="I74" i="3"/>
  <c r="P48" i="2"/>
  <c r="Q48" i="2" s="1"/>
  <c r="G28" i="8" s="1"/>
  <c r="I33" i="4"/>
  <c r="X81" i="2"/>
  <c r="Y81" i="2" s="1"/>
  <c r="Z81" i="2" s="1"/>
  <c r="AB81" i="2" s="1"/>
  <c r="I61" i="3"/>
  <c r="P81" i="2"/>
  <c r="I42" i="4"/>
  <c r="I95" i="3"/>
  <c r="X92" i="2"/>
  <c r="Y92" i="2" s="1"/>
  <c r="Z92" i="2" s="1"/>
  <c r="AB92" i="2" s="1"/>
  <c r="P92" i="2"/>
  <c r="I46" i="4"/>
  <c r="I100" i="3"/>
  <c r="X96" i="2"/>
  <c r="Y96" i="2" s="1"/>
  <c r="Z96" i="2" s="1"/>
  <c r="AB96" i="2" s="1"/>
  <c r="P96" i="2"/>
  <c r="I45" i="4"/>
  <c r="I56" i="3"/>
  <c r="P95" i="2"/>
  <c r="X95" i="2"/>
  <c r="Y95" i="2" s="1"/>
  <c r="Z95" i="2" s="1"/>
  <c r="AB95" i="2" s="1"/>
  <c r="E40" i="8"/>
  <c r="T40" i="8" s="1"/>
  <c r="H51" i="6"/>
  <c r="I102" i="3"/>
  <c r="P104" i="2"/>
  <c r="Q104" i="2" s="1"/>
  <c r="P112" i="2"/>
  <c r="Q112" i="2" s="1"/>
  <c r="T112" i="2" s="1"/>
  <c r="P120" i="2"/>
  <c r="Q120" i="2" s="1"/>
  <c r="T120" i="2" s="1"/>
  <c r="E37" i="8"/>
  <c r="T37" i="8" s="1"/>
  <c r="H48" i="6"/>
  <c r="I104" i="3"/>
  <c r="P101" i="2"/>
  <c r="Q101" i="2" s="1"/>
  <c r="P117" i="2"/>
  <c r="Q117" i="2" s="1"/>
  <c r="T117" i="2" s="1"/>
  <c r="E21" i="8"/>
  <c r="T21" i="8" s="1"/>
  <c r="H32" i="6"/>
  <c r="I90" i="3"/>
  <c r="P31" i="2"/>
  <c r="Q31" i="2" s="1"/>
  <c r="I36" i="4"/>
  <c r="I77" i="3"/>
  <c r="X86" i="2"/>
  <c r="Y86" i="2" s="1"/>
  <c r="Z86" i="2" s="1"/>
  <c r="AB86" i="2" s="1"/>
  <c r="P86" i="2"/>
  <c r="H30" i="5"/>
  <c r="I94" i="3"/>
  <c r="X56" i="2"/>
  <c r="Y56" i="2" s="1"/>
  <c r="Z56" i="2" s="1"/>
  <c r="AB56" i="2" s="1"/>
  <c r="P56" i="2"/>
  <c r="E17" i="8"/>
  <c r="T17" i="8" s="1"/>
  <c r="H28" i="6"/>
  <c r="I68" i="3"/>
  <c r="P27" i="2"/>
  <c r="Q27" i="2" s="1"/>
  <c r="E8" i="8"/>
  <c r="T8" i="8" s="1"/>
  <c r="I32" i="3"/>
  <c r="H19" i="6"/>
  <c r="P18" i="2"/>
  <c r="Q18" i="2" s="1"/>
  <c r="I37" i="4"/>
  <c r="I78" i="3"/>
  <c r="P87" i="2"/>
  <c r="X87" i="2"/>
  <c r="Y87" i="2" s="1"/>
  <c r="Z87" i="2" s="1"/>
  <c r="AB87" i="2" s="1"/>
  <c r="E11" i="8"/>
  <c r="T11" i="8" s="1"/>
  <c r="H22" i="6"/>
  <c r="I24" i="3"/>
  <c r="P21" i="2"/>
  <c r="Q21" i="2" s="1"/>
  <c r="I27" i="3"/>
  <c r="P49" i="2"/>
  <c r="Q49" i="2" s="1"/>
  <c r="T49" i="2" s="1"/>
  <c r="I25" i="5" s="1"/>
  <c r="H29" i="6"/>
  <c r="E18" i="8"/>
  <c r="T18" i="8" s="1"/>
  <c r="I70" i="3"/>
  <c r="P28" i="2"/>
  <c r="Q28" i="2" s="1"/>
  <c r="H26" i="5"/>
  <c r="I82" i="3"/>
  <c r="P51" i="2"/>
  <c r="X51" i="2"/>
  <c r="Y51" i="2" s="1"/>
  <c r="Z51" i="2" s="1"/>
  <c r="AB51" i="2" s="1"/>
  <c r="I105" i="3"/>
  <c r="H32" i="5"/>
  <c r="P60" i="2"/>
  <c r="X60" i="2"/>
  <c r="Y60" i="2" s="1"/>
  <c r="Z60" i="2" s="1"/>
  <c r="AB60" i="2" s="1"/>
  <c r="I20" i="4"/>
  <c r="I31" i="3"/>
  <c r="P68" i="2"/>
  <c r="X68" i="2"/>
  <c r="Y68" i="2" s="1"/>
  <c r="Z68" i="2" s="1"/>
  <c r="AB68" i="2" s="1"/>
  <c r="I28" i="4"/>
  <c r="I53" i="3"/>
  <c r="P76" i="2"/>
  <c r="X76" i="2"/>
  <c r="Y76" i="2" s="1"/>
  <c r="Z76" i="2" s="1"/>
  <c r="AB76" i="2" s="1"/>
  <c r="I41" i="4"/>
  <c r="I83" i="3"/>
  <c r="P91" i="2"/>
  <c r="X91" i="2"/>
  <c r="Y91" i="2" s="1"/>
  <c r="Z91" i="2" s="1"/>
  <c r="AB91" i="2" s="1"/>
  <c r="H16" i="5"/>
  <c r="I14" i="3"/>
  <c r="X34" i="2"/>
  <c r="P34" i="2"/>
  <c r="I36" i="3"/>
  <c r="P42" i="2"/>
  <c r="Q42" i="2" s="1"/>
  <c r="I76" i="3"/>
  <c r="P50" i="2"/>
  <c r="Q50" i="2" s="1"/>
  <c r="E34" i="8"/>
  <c r="T34" i="8" s="1"/>
  <c r="H45" i="6"/>
  <c r="I98" i="3"/>
  <c r="P98" i="2"/>
  <c r="Q98" i="2" s="1"/>
  <c r="E42" i="8"/>
  <c r="T42" i="8" s="1"/>
  <c r="H53" i="6"/>
  <c r="I86" i="3"/>
  <c r="P106" i="2"/>
  <c r="Q106" i="2" s="1"/>
  <c r="P114" i="2"/>
  <c r="Q114" i="2" s="1"/>
  <c r="T114" i="2" s="1"/>
  <c r="P122" i="2"/>
  <c r="Q122" i="2" s="1"/>
  <c r="T122" i="2" s="1"/>
  <c r="E39" i="8"/>
  <c r="T39" i="8" s="1"/>
  <c r="H50" i="6"/>
  <c r="I72" i="3"/>
  <c r="P103" i="2"/>
  <c r="Q103" i="2" s="1"/>
  <c r="P111" i="2"/>
  <c r="Q111" i="2" s="1"/>
  <c r="T111" i="2" s="1"/>
  <c r="P119" i="2"/>
  <c r="Q119" i="2" s="1"/>
  <c r="T119" i="2" s="1"/>
  <c r="E23" i="8"/>
  <c r="T23" i="8" s="1"/>
  <c r="I43" i="3"/>
  <c r="P33" i="2"/>
  <c r="Q33" i="2" s="1"/>
  <c r="O4" i="8"/>
  <c r="T28" i="8" l="1"/>
  <c r="S28" i="8"/>
  <c r="F28" i="8"/>
  <c r="T5" i="8"/>
  <c r="S5" i="8"/>
  <c r="T44" i="8"/>
  <c r="S44" i="8"/>
  <c r="S25" i="8"/>
  <c r="T25" i="8"/>
  <c r="X49" i="2"/>
  <c r="Y49" i="2" s="1"/>
  <c r="Z49" i="2" s="1"/>
  <c r="AB49" i="2" s="1"/>
  <c r="J25" i="5" s="1"/>
  <c r="L25" i="5" s="1"/>
  <c r="N25" i="5" s="1"/>
  <c r="T40" i="2"/>
  <c r="G24" i="8"/>
  <c r="T24" i="8"/>
  <c r="S24" i="8"/>
  <c r="F24" i="8"/>
  <c r="X47" i="2"/>
  <c r="Y47" i="2" s="1"/>
  <c r="Z47" i="2" s="1"/>
  <c r="AB47" i="2" s="1"/>
  <c r="J24" i="5" s="1"/>
  <c r="L24" i="5" s="1"/>
  <c r="N24" i="5" s="1"/>
  <c r="T42" i="2"/>
  <c r="X42" i="2" s="1"/>
  <c r="G25" i="8"/>
  <c r="Y34" i="2"/>
  <c r="Z34" i="2" s="1"/>
  <c r="S32" i="8"/>
  <c r="T32" i="8"/>
  <c r="F32" i="8"/>
  <c r="T50" i="2"/>
  <c r="G29" i="8"/>
  <c r="S29" i="8"/>
  <c r="F29" i="8"/>
  <c r="AA124" i="2"/>
  <c r="S31" i="8"/>
  <c r="F31" i="8"/>
  <c r="T83" i="2"/>
  <c r="G33" i="8"/>
  <c r="T58" i="2"/>
  <c r="G31" i="8"/>
  <c r="S33" i="8"/>
  <c r="F33" i="8"/>
  <c r="O46" i="8"/>
  <c r="K46" i="8"/>
  <c r="W124" i="2"/>
  <c r="G42" i="8"/>
  <c r="T106" i="2"/>
  <c r="H34" i="5"/>
  <c r="S33" i="5" s="1"/>
  <c r="J32" i="5"/>
  <c r="L32" i="5" s="1"/>
  <c r="N32" i="5" s="1"/>
  <c r="AF60" i="2"/>
  <c r="AG60" i="2" s="1"/>
  <c r="G8" i="8"/>
  <c r="T18" i="2"/>
  <c r="K36" i="4"/>
  <c r="N36" i="4" s="1"/>
  <c r="P36" i="4" s="1"/>
  <c r="AF86" i="2"/>
  <c r="AG86" i="2" s="1"/>
  <c r="G21" i="8"/>
  <c r="T31" i="2"/>
  <c r="K45" i="4"/>
  <c r="K42" i="4"/>
  <c r="N42" i="4" s="1"/>
  <c r="P42" i="4" s="1"/>
  <c r="AF92" i="2"/>
  <c r="AG92" i="2" s="1"/>
  <c r="T48" i="2"/>
  <c r="K40" i="4"/>
  <c r="N40" i="4" s="1"/>
  <c r="P40" i="4" s="1"/>
  <c r="AF90" i="2"/>
  <c r="AG90" i="2" s="1"/>
  <c r="K26" i="4"/>
  <c r="N26" i="4" s="1"/>
  <c r="P26" i="4" s="1"/>
  <c r="AF74" i="2"/>
  <c r="AG74" i="2" s="1"/>
  <c r="S16" i="8"/>
  <c r="F16" i="8"/>
  <c r="G13" i="8"/>
  <c r="T23" i="2"/>
  <c r="J20" i="5"/>
  <c r="L20" i="5" s="1"/>
  <c r="N20" i="5" s="1"/>
  <c r="AF39" i="2"/>
  <c r="S10" i="8"/>
  <c r="F10" i="8"/>
  <c r="S15" i="8"/>
  <c r="F15" i="8"/>
  <c r="AF123" i="2"/>
  <c r="AG123" i="2" s="1"/>
  <c r="G35" i="8"/>
  <c r="T99" i="2"/>
  <c r="K17" i="4"/>
  <c r="N17" i="4" s="1"/>
  <c r="P17" i="4" s="1"/>
  <c r="AF64" i="2"/>
  <c r="AG64" i="2" s="1"/>
  <c r="G22" i="8"/>
  <c r="T32" i="2"/>
  <c r="G14" i="8"/>
  <c r="T24" i="2"/>
  <c r="G7" i="8"/>
  <c r="T17" i="2"/>
  <c r="P124" i="2"/>
  <c r="Q14" i="2"/>
  <c r="S12" i="8"/>
  <c r="F12" i="8"/>
  <c r="K25" i="4"/>
  <c r="N25" i="4" s="1"/>
  <c r="P25" i="4" s="1"/>
  <c r="AF73" i="2"/>
  <c r="AG73" i="2" s="1"/>
  <c r="S19" i="8"/>
  <c r="F19" i="8"/>
  <c r="G41" i="8"/>
  <c r="T105" i="2"/>
  <c r="AF116" i="2"/>
  <c r="AG116" i="2" s="1"/>
  <c r="K34" i="4"/>
  <c r="N34" i="4" s="1"/>
  <c r="P34" i="4" s="1"/>
  <c r="AF82" i="2"/>
  <c r="AG82" i="2" s="1"/>
  <c r="G20" i="8"/>
  <c r="T30" i="2"/>
  <c r="K21" i="4"/>
  <c r="N21" i="4" s="1"/>
  <c r="P21" i="4" s="1"/>
  <c r="AF69" i="2"/>
  <c r="AG69" i="2" s="1"/>
  <c r="X111" i="2"/>
  <c r="Y111" i="2" s="1"/>
  <c r="Z111" i="2" s="1"/>
  <c r="AB111" i="2" s="1"/>
  <c r="AF111" i="2" s="1"/>
  <c r="AG111" i="2" s="1"/>
  <c r="X114" i="2"/>
  <c r="Y114" i="2" s="1"/>
  <c r="Z114" i="2" s="1"/>
  <c r="AB114" i="2" s="1"/>
  <c r="AF114" i="2" s="1"/>
  <c r="AG114" i="2" s="1"/>
  <c r="G34" i="8"/>
  <c r="T98" i="2"/>
  <c r="S34" i="8"/>
  <c r="F34" i="8"/>
  <c r="K41" i="4"/>
  <c r="N41" i="4" s="1"/>
  <c r="P41" i="4" s="1"/>
  <c r="AF91" i="2"/>
  <c r="AG91" i="2" s="1"/>
  <c r="J26" i="5"/>
  <c r="L26" i="5" s="1"/>
  <c r="N26" i="5" s="1"/>
  <c r="AF51" i="2"/>
  <c r="K37" i="4"/>
  <c r="N37" i="4" s="1"/>
  <c r="P37" i="4" s="1"/>
  <c r="AF87" i="2"/>
  <c r="AG87" i="2" s="1"/>
  <c r="S8" i="8"/>
  <c r="F8" i="8"/>
  <c r="S21" i="8"/>
  <c r="F21" i="8"/>
  <c r="X117" i="2"/>
  <c r="Y117" i="2" s="1"/>
  <c r="Z117" i="2" s="1"/>
  <c r="AB117" i="2" s="1"/>
  <c r="AF117" i="2" s="1"/>
  <c r="AG117" i="2" s="1"/>
  <c r="X112" i="2"/>
  <c r="Y112" i="2" s="1"/>
  <c r="Z112" i="2" s="1"/>
  <c r="AB112" i="2" s="1"/>
  <c r="AF112" i="2" s="1"/>
  <c r="AG112" i="2" s="1"/>
  <c r="K19" i="4"/>
  <c r="N19" i="4" s="1"/>
  <c r="P19" i="4" s="1"/>
  <c r="AF66" i="2"/>
  <c r="AG66" i="2" s="1"/>
  <c r="S13" i="8"/>
  <c r="F13" i="8"/>
  <c r="K18" i="4"/>
  <c r="N18" i="4" s="1"/>
  <c r="P18" i="4" s="1"/>
  <c r="AF65" i="2"/>
  <c r="AG65" i="2" s="1"/>
  <c r="S35" i="8"/>
  <c r="F35" i="8"/>
  <c r="G38" i="8"/>
  <c r="T102" i="2"/>
  <c r="S38" i="8"/>
  <c r="F38" i="8"/>
  <c r="K32" i="4"/>
  <c r="N32" i="4" s="1"/>
  <c r="P32" i="4" s="1"/>
  <c r="AF80" i="2"/>
  <c r="AG80" i="2" s="1"/>
  <c r="J29" i="5"/>
  <c r="L29" i="5" s="1"/>
  <c r="N29" i="5" s="1"/>
  <c r="AF55" i="2"/>
  <c r="S14" i="8"/>
  <c r="F14" i="8"/>
  <c r="K29" i="4"/>
  <c r="N29" i="4" s="1"/>
  <c r="P29" i="4" s="1"/>
  <c r="AF77" i="2"/>
  <c r="AG77" i="2" s="1"/>
  <c r="S7" i="8"/>
  <c r="F7" i="8"/>
  <c r="J17" i="5"/>
  <c r="L17" i="5" s="1"/>
  <c r="N17" i="5" s="1"/>
  <c r="AF35" i="2"/>
  <c r="H56" i="6"/>
  <c r="K27" i="4"/>
  <c r="N27" i="4" s="1"/>
  <c r="P27" i="4" s="1"/>
  <c r="AF75" i="2"/>
  <c r="AG75" i="2" s="1"/>
  <c r="S41" i="8"/>
  <c r="F41" i="8"/>
  <c r="G36" i="8"/>
  <c r="T100" i="2"/>
  <c r="K38" i="4"/>
  <c r="N38" i="4" s="1"/>
  <c r="P38" i="4" s="1"/>
  <c r="AF88" i="2"/>
  <c r="AG88" i="2" s="1"/>
  <c r="K22" i="4"/>
  <c r="N22" i="4" s="1"/>
  <c r="P22" i="4" s="1"/>
  <c r="AF70" i="2"/>
  <c r="AG70" i="2" s="1"/>
  <c r="S20" i="8"/>
  <c r="F20" i="8"/>
  <c r="G9" i="8"/>
  <c r="T19" i="2"/>
  <c r="S9" i="8"/>
  <c r="F9" i="8"/>
  <c r="K14" i="4"/>
  <c r="N14" i="4" s="1"/>
  <c r="P14" i="4" s="1"/>
  <c r="AF61" i="2"/>
  <c r="AG61" i="2" s="1"/>
  <c r="G6" i="8"/>
  <c r="T16" i="2"/>
  <c r="S23" i="8"/>
  <c r="F23" i="8"/>
  <c r="S42" i="8"/>
  <c r="F42" i="8"/>
  <c r="X119" i="2"/>
  <c r="Y119" i="2" s="1"/>
  <c r="Z119" i="2" s="1"/>
  <c r="AB119" i="2" s="1"/>
  <c r="AF119" i="2" s="1"/>
  <c r="AG119" i="2" s="1"/>
  <c r="G23" i="8"/>
  <c r="T33" i="2"/>
  <c r="I35" i="6" s="1"/>
  <c r="G39" i="8"/>
  <c r="T103" i="2"/>
  <c r="X122" i="2"/>
  <c r="Y122" i="2" s="1"/>
  <c r="Z122" i="2" s="1"/>
  <c r="AB122" i="2" s="1"/>
  <c r="AF122" i="2" s="1"/>
  <c r="AG122" i="2" s="1"/>
  <c r="K28" i="4"/>
  <c r="G18" i="8"/>
  <c r="T28" i="2"/>
  <c r="S18" i="8"/>
  <c r="F18" i="8"/>
  <c r="G11" i="8"/>
  <c r="T21" i="2"/>
  <c r="S11" i="8"/>
  <c r="F11" i="8"/>
  <c r="G17" i="8"/>
  <c r="T27" i="2"/>
  <c r="J30" i="5"/>
  <c r="L30" i="5" s="1"/>
  <c r="N30" i="5" s="1"/>
  <c r="AF56" i="2"/>
  <c r="G37" i="8"/>
  <c r="T101" i="2"/>
  <c r="X120" i="2"/>
  <c r="Y120" i="2" s="1"/>
  <c r="Z120" i="2" s="1"/>
  <c r="AB120" i="2" s="1"/>
  <c r="AF120" i="2" s="1"/>
  <c r="AG120" i="2" s="1"/>
  <c r="K33" i="4"/>
  <c r="N33" i="4" s="1"/>
  <c r="P33" i="4" s="1"/>
  <c r="AF81" i="2"/>
  <c r="AG81" i="2" s="1"/>
  <c r="J31" i="5"/>
  <c r="L31" i="5" s="1"/>
  <c r="N31" i="5" s="1"/>
  <c r="AF57" i="2"/>
  <c r="G30" i="8"/>
  <c r="T52" i="2"/>
  <c r="S30" i="8"/>
  <c r="F30" i="8"/>
  <c r="G27" i="8"/>
  <c r="T45" i="2"/>
  <c r="S27" i="8"/>
  <c r="F27" i="8"/>
  <c r="G43" i="8"/>
  <c r="T107" i="2"/>
  <c r="J23" i="5"/>
  <c r="L23" i="5" s="1"/>
  <c r="N23" i="5" s="1"/>
  <c r="AF46" i="2"/>
  <c r="S22" i="8"/>
  <c r="F22" i="8"/>
  <c r="J33" i="5"/>
  <c r="L33" i="5" s="1"/>
  <c r="N33" i="5" s="1"/>
  <c r="AF85" i="2"/>
  <c r="AG85" i="2" s="1"/>
  <c r="J28" i="5"/>
  <c r="L28" i="5" s="1"/>
  <c r="N28" i="5" s="1"/>
  <c r="AF54" i="2"/>
  <c r="T59" i="2"/>
  <c r="E46" i="8"/>
  <c r="T4" i="8"/>
  <c r="F4" i="8"/>
  <c r="AF121" i="2"/>
  <c r="AG121" i="2" s="1"/>
  <c r="X113" i="2"/>
  <c r="Y113" i="2" s="1"/>
  <c r="Z113" i="2" s="1"/>
  <c r="AB113" i="2" s="1"/>
  <c r="AF113" i="2" s="1"/>
  <c r="AG113" i="2" s="1"/>
  <c r="S36" i="8"/>
  <c r="F36" i="8"/>
  <c r="K30" i="4"/>
  <c r="N30" i="4" s="1"/>
  <c r="P30" i="4" s="1"/>
  <c r="AF78" i="2"/>
  <c r="AG78" i="2" s="1"/>
  <c r="K44" i="4"/>
  <c r="N44" i="4" s="1"/>
  <c r="P44" i="4" s="1"/>
  <c r="AF94" i="2"/>
  <c r="AG94" i="2" s="1"/>
  <c r="K15" i="4"/>
  <c r="N15" i="4" s="1"/>
  <c r="P15" i="4" s="1"/>
  <c r="AF62" i="2"/>
  <c r="AG62" i="2" s="1"/>
  <c r="K23" i="4"/>
  <c r="N23" i="4" s="1"/>
  <c r="P23" i="4" s="1"/>
  <c r="AF71" i="2"/>
  <c r="AG71" i="2" s="1"/>
  <c r="S6" i="8"/>
  <c r="F6" i="8"/>
  <c r="S39" i="8"/>
  <c r="F39" i="8"/>
  <c r="K20" i="4"/>
  <c r="N20" i="4" s="1"/>
  <c r="P20" i="4" s="1"/>
  <c r="AF68" i="2"/>
  <c r="AG68" i="2" s="1"/>
  <c r="S17" i="8"/>
  <c r="F17" i="8"/>
  <c r="S37" i="8"/>
  <c r="F37" i="8"/>
  <c r="G40" i="8"/>
  <c r="T104" i="2"/>
  <c r="S40" i="8"/>
  <c r="F40" i="8"/>
  <c r="K46" i="4"/>
  <c r="N46" i="4" s="1"/>
  <c r="P46" i="4" s="1"/>
  <c r="AF96" i="2"/>
  <c r="AG96" i="2" s="1"/>
  <c r="G16" i="8"/>
  <c r="T26" i="2"/>
  <c r="K31" i="4"/>
  <c r="N31" i="4" s="1"/>
  <c r="P31" i="4" s="1"/>
  <c r="AF79" i="2"/>
  <c r="AG79" i="2" s="1"/>
  <c r="G5" i="8"/>
  <c r="T15" i="2"/>
  <c r="F5" i="8"/>
  <c r="G10" i="8"/>
  <c r="T20" i="2"/>
  <c r="J21" i="5"/>
  <c r="L21" i="5" s="1"/>
  <c r="N21" i="5" s="1"/>
  <c r="AF41" i="2"/>
  <c r="G15" i="8"/>
  <c r="T25" i="2"/>
  <c r="AF115" i="2"/>
  <c r="AG115" i="2" s="1"/>
  <c r="S43" i="8"/>
  <c r="F43" i="8"/>
  <c r="AF118" i="2"/>
  <c r="AG118" i="2" s="1"/>
  <c r="K39" i="4"/>
  <c r="N39" i="4" s="1"/>
  <c r="P39" i="4" s="1"/>
  <c r="AF89" i="2"/>
  <c r="AG89" i="2" s="1"/>
  <c r="K13" i="4"/>
  <c r="AF38" i="2"/>
  <c r="K24" i="4"/>
  <c r="N24" i="4" s="1"/>
  <c r="P24" i="4" s="1"/>
  <c r="AF72" i="2"/>
  <c r="AG72" i="2" s="1"/>
  <c r="G26" i="8"/>
  <c r="T43" i="2"/>
  <c r="S26" i="8"/>
  <c r="F26" i="8"/>
  <c r="T67" i="2"/>
  <c r="G12" i="8"/>
  <c r="T22" i="2"/>
  <c r="K16" i="4"/>
  <c r="N16" i="4" s="1"/>
  <c r="P16" i="4" s="1"/>
  <c r="AF63" i="2"/>
  <c r="AG63" i="2" s="1"/>
  <c r="G19" i="8"/>
  <c r="T29" i="2"/>
  <c r="K47" i="4"/>
  <c r="N47" i="4" s="1"/>
  <c r="P47" i="4" s="1"/>
  <c r="AF97" i="2"/>
  <c r="AG97" i="2" s="1"/>
  <c r="G44" i="8"/>
  <c r="T108" i="2"/>
  <c r="F44" i="8"/>
  <c r="K43" i="4"/>
  <c r="N43" i="4" s="1"/>
  <c r="P43" i="4" s="1"/>
  <c r="AF93" i="2"/>
  <c r="AG93" i="2" s="1"/>
  <c r="J22" i="5"/>
  <c r="L22" i="5" s="1"/>
  <c r="N22" i="5" s="1"/>
  <c r="AF44" i="2"/>
  <c r="J18" i="5"/>
  <c r="L18" i="5" s="1"/>
  <c r="N18" i="5" s="1"/>
  <c r="AF36" i="2"/>
  <c r="J27" i="5"/>
  <c r="L27" i="5" s="1"/>
  <c r="N27" i="5" s="1"/>
  <c r="AF53" i="2"/>
  <c r="K35" i="4"/>
  <c r="N35" i="4" s="1"/>
  <c r="P35" i="4" s="1"/>
  <c r="AF84" i="2"/>
  <c r="AG84" i="2" s="1"/>
  <c r="AC76" i="2"/>
  <c r="AF76" i="2" s="1"/>
  <c r="AG76" i="2" s="1"/>
  <c r="I28" i="8" l="1"/>
  <c r="J28" i="8" s="1"/>
  <c r="I39" i="6"/>
  <c r="X40" i="2"/>
  <c r="I33" i="6"/>
  <c r="AF47" i="2"/>
  <c r="AF49" i="2"/>
  <c r="J27" i="3" s="1"/>
  <c r="Y40" i="2"/>
  <c r="Z40" i="2" s="1"/>
  <c r="L24" i="8"/>
  <c r="M24" i="8" s="1"/>
  <c r="I24" i="8"/>
  <c r="J24" i="8" s="1"/>
  <c r="Y42" i="2"/>
  <c r="Z42" i="2" s="1"/>
  <c r="AB42" i="2" s="1"/>
  <c r="J36" i="6" s="1"/>
  <c r="L25" i="8"/>
  <c r="M25" i="8" s="1"/>
  <c r="I36" i="6"/>
  <c r="I25" i="8"/>
  <c r="J25" i="8" s="1"/>
  <c r="T46" i="8"/>
  <c r="R50" i="8" s="1"/>
  <c r="AB34" i="2"/>
  <c r="I43" i="6"/>
  <c r="I32" i="8"/>
  <c r="J32" i="8" s="1"/>
  <c r="I29" i="8"/>
  <c r="J29" i="8" s="1"/>
  <c r="I40" i="6"/>
  <c r="X50" i="2"/>
  <c r="I42" i="6"/>
  <c r="I31" i="8"/>
  <c r="J31" i="8" s="1"/>
  <c r="X58" i="2"/>
  <c r="I44" i="6"/>
  <c r="I33" i="8"/>
  <c r="J33" i="8" s="1"/>
  <c r="X83" i="2"/>
  <c r="J53" i="3"/>
  <c r="K53" i="3"/>
  <c r="I44" i="8"/>
  <c r="J44" i="8" s="1"/>
  <c r="I55" i="6"/>
  <c r="X108" i="2"/>
  <c r="J66" i="3"/>
  <c r="AG38" i="2"/>
  <c r="K66" i="3" s="1"/>
  <c r="I15" i="8"/>
  <c r="J15" i="8" s="1"/>
  <c r="I26" i="6"/>
  <c r="X25" i="2"/>
  <c r="J59" i="3"/>
  <c r="K59" i="3"/>
  <c r="J23" i="3"/>
  <c r="K23" i="3"/>
  <c r="F46" i="8"/>
  <c r="L45" i="4"/>
  <c r="I49" i="4" s="1"/>
  <c r="P49" i="4" s="1"/>
  <c r="I19" i="5"/>
  <c r="I37" i="8"/>
  <c r="J37" i="8" s="1"/>
  <c r="I48" i="6"/>
  <c r="X101" i="2"/>
  <c r="J13" i="3"/>
  <c r="K13" i="3"/>
  <c r="J21" i="3"/>
  <c r="K21" i="3"/>
  <c r="I20" i="8"/>
  <c r="J20" i="8" s="1"/>
  <c r="I31" i="6"/>
  <c r="X30" i="2"/>
  <c r="J62" i="3"/>
  <c r="K62" i="3"/>
  <c r="I41" i="8"/>
  <c r="J41" i="8" s="1"/>
  <c r="I52" i="6"/>
  <c r="X105" i="2"/>
  <c r="I22" i="8"/>
  <c r="J22" i="8" s="1"/>
  <c r="I34" i="6"/>
  <c r="X32" i="2"/>
  <c r="I13" i="8"/>
  <c r="J13" i="8" s="1"/>
  <c r="I24" i="6"/>
  <c r="X23" i="2"/>
  <c r="J81" i="3"/>
  <c r="K81" i="3"/>
  <c r="J95" i="3"/>
  <c r="K95" i="3"/>
  <c r="I21" i="8"/>
  <c r="J21" i="8" s="1"/>
  <c r="I32" i="6"/>
  <c r="X31" i="2"/>
  <c r="J105" i="3"/>
  <c r="K105" i="3"/>
  <c r="I42" i="8"/>
  <c r="J42" i="8" s="1"/>
  <c r="I53" i="6"/>
  <c r="X106" i="2"/>
  <c r="J88" i="3"/>
  <c r="K88" i="3"/>
  <c r="X67" i="2"/>
  <c r="L32" i="8" s="1"/>
  <c r="M32" i="8" s="1"/>
  <c r="I19" i="8"/>
  <c r="J19" i="8" s="1"/>
  <c r="I30" i="6"/>
  <c r="X29" i="2"/>
  <c r="I26" i="8"/>
  <c r="J26" i="8" s="1"/>
  <c r="I37" i="6"/>
  <c r="X43" i="2"/>
  <c r="I10" i="8"/>
  <c r="J10" i="8" s="1"/>
  <c r="I21" i="6"/>
  <c r="X20" i="2"/>
  <c r="J31" i="3"/>
  <c r="K31" i="3"/>
  <c r="J89" i="3"/>
  <c r="AG54" i="2"/>
  <c r="K89" i="3" s="1"/>
  <c r="I27" i="8"/>
  <c r="J27" i="8" s="1"/>
  <c r="I38" i="6"/>
  <c r="X45" i="2"/>
  <c r="I17" i="8"/>
  <c r="J17" i="8" s="1"/>
  <c r="I28" i="6"/>
  <c r="X27" i="2"/>
  <c r="I18" i="8"/>
  <c r="J18" i="8" s="1"/>
  <c r="I29" i="6"/>
  <c r="X28" i="2"/>
  <c r="I9" i="8"/>
  <c r="J9" i="8" s="1"/>
  <c r="I20" i="6"/>
  <c r="X19" i="2"/>
  <c r="I36" i="8"/>
  <c r="J36" i="8" s="1"/>
  <c r="I47" i="6"/>
  <c r="X100" i="2"/>
  <c r="J52" i="3"/>
  <c r="K52" i="3"/>
  <c r="I34" i="8"/>
  <c r="J34" i="8" s="1"/>
  <c r="I45" i="6"/>
  <c r="X98" i="2"/>
  <c r="J41" i="3"/>
  <c r="K41" i="3"/>
  <c r="J50" i="3"/>
  <c r="K50" i="3"/>
  <c r="J38" i="3"/>
  <c r="AG39" i="2"/>
  <c r="K38" i="3" s="1"/>
  <c r="I8" i="8"/>
  <c r="J8" i="8" s="1"/>
  <c r="I19" i="6"/>
  <c r="X18" i="2"/>
  <c r="J54" i="3"/>
  <c r="AG44" i="2"/>
  <c r="K54" i="3" s="1"/>
  <c r="L28" i="4"/>
  <c r="N28" i="4" s="1"/>
  <c r="P28" i="4" s="1"/>
  <c r="M127" i="2"/>
  <c r="AC124" i="2"/>
  <c r="M139" i="2" s="1"/>
  <c r="Y127" i="2"/>
  <c r="Z127" i="2" s="1"/>
  <c r="AB127" i="2" s="1"/>
  <c r="J63" i="3"/>
  <c r="AG53" i="2"/>
  <c r="K63" i="3" s="1"/>
  <c r="K50" i="4"/>
  <c r="N13" i="4"/>
  <c r="J69" i="3"/>
  <c r="K69" i="3"/>
  <c r="J29" i="3"/>
  <c r="AG36" i="2"/>
  <c r="K29" i="3" s="1"/>
  <c r="J101" i="3"/>
  <c r="K101" i="3"/>
  <c r="I12" i="8"/>
  <c r="J12" i="8" s="1"/>
  <c r="I23" i="6"/>
  <c r="X22" i="2"/>
  <c r="J48" i="3"/>
  <c r="K48" i="3"/>
  <c r="J49" i="3"/>
  <c r="AG41" i="2"/>
  <c r="K49" i="3" s="1"/>
  <c r="I5" i="8"/>
  <c r="J5" i="8" s="1"/>
  <c r="I16" i="6"/>
  <c r="X15" i="2"/>
  <c r="J100" i="3"/>
  <c r="K100" i="3"/>
  <c r="J47" i="3"/>
  <c r="K47" i="3"/>
  <c r="J57" i="3"/>
  <c r="K57" i="3"/>
  <c r="S46" i="8"/>
  <c r="R49" i="8" s="1"/>
  <c r="J58" i="3"/>
  <c r="AG46" i="2"/>
  <c r="K58" i="3" s="1"/>
  <c r="I30" i="8"/>
  <c r="J30" i="8" s="1"/>
  <c r="I41" i="6"/>
  <c r="X52" i="2"/>
  <c r="J61" i="3"/>
  <c r="K61" i="3"/>
  <c r="J94" i="3"/>
  <c r="AG56" i="2"/>
  <c r="K94" i="3" s="1"/>
  <c r="I11" i="8"/>
  <c r="J11" i="8" s="1"/>
  <c r="I22" i="6"/>
  <c r="X21" i="2"/>
  <c r="I23" i="8"/>
  <c r="J23" i="8" s="1"/>
  <c r="X33" i="2"/>
  <c r="I6" i="8"/>
  <c r="J6" i="8" s="1"/>
  <c r="I17" i="6"/>
  <c r="X16" i="2"/>
  <c r="J79" i="3"/>
  <c r="K79" i="3"/>
  <c r="J60" i="3"/>
  <c r="K60" i="3"/>
  <c r="J83" i="3"/>
  <c r="K83" i="3"/>
  <c r="I14" i="8"/>
  <c r="J14" i="8" s="1"/>
  <c r="I25" i="6"/>
  <c r="X24" i="2"/>
  <c r="J20" i="3"/>
  <c r="K20" i="3"/>
  <c r="J22" i="3"/>
  <c r="K22" i="3"/>
  <c r="X48" i="2"/>
  <c r="L28" i="8" s="1"/>
  <c r="M28" i="8" s="1"/>
  <c r="J77" i="3"/>
  <c r="K77" i="3"/>
  <c r="J19" i="3"/>
  <c r="K19" i="3"/>
  <c r="J80" i="3"/>
  <c r="K80" i="3"/>
  <c r="I16" i="8"/>
  <c r="J16" i="8" s="1"/>
  <c r="I27" i="6"/>
  <c r="X26" i="2"/>
  <c r="I40" i="8"/>
  <c r="J40" i="8" s="1"/>
  <c r="I51" i="6"/>
  <c r="X104" i="2"/>
  <c r="J93" i="3"/>
  <c r="K93" i="3"/>
  <c r="X59" i="2"/>
  <c r="J73" i="3"/>
  <c r="K73" i="3"/>
  <c r="I43" i="8"/>
  <c r="J43" i="8" s="1"/>
  <c r="I54" i="6"/>
  <c r="X107" i="2"/>
  <c r="J96" i="3"/>
  <c r="AG57" i="2"/>
  <c r="K96" i="3" s="1"/>
  <c r="I39" i="8"/>
  <c r="J39" i="8" s="1"/>
  <c r="I50" i="6"/>
  <c r="X103" i="2"/>
  <c r="J64" i="3"/>
  <c r="AG47" i="2"/>
  <c r="K64" i="3" s="1"/>
  <c r="J44" i="3"/>
  <c r="K44" i="3"/>
  <c r="J51" i="3"/>
  <c r="K51" i="3"/>
  <c r="J12" i="3"/>
  <c r="AG35" i="2"/>
  <c r="K12" i="3" s="1"/>
  <c r="J91" i="3"/>
  <c r="AG55" i="2"/>
  <c r="K91" i="3" s="1"/>
  <c r="I38" i="8"/>
  <c r="J38" i="8" s="1"/>
  <c r="I49" i="6"/>
  <c r="X102" i="2"/>
  <c r="J26" i="3"/>
  <c r="K26" i="3"/>
  <c r="J78" i="3"/>
  <c r="K78" i="3"/>
  <c r="J82" i="3"/>
  <c r="AG51" i="2"/>
  <c r="K82" i="3" s="1"/>
  <c r="G4" i="8"/>
  <c r="G46" i="8" s="1"/>
  <c r="Q124" i="2"/>
  <c r="T14" i="2"/>
  <c r="I7" i="8"/>
  <c r="J7" i="8" s="1"/>
  <c r="I18" i="6"/>
  <c r="X17" i="2"/>
  <c r="I35" i="8"/>
  <c r="J35" i="8" s="1"/>
  <c r="I46" i="6"/>
  <c r="X99" i="2"/>
  <c r="AF95" i="2"/>
  <c r="AG95" i="2" s="1"/>
  <c r="AG49" i="2" l="1"/>
  <c r="K27" i="3" s="1"/>
  <c r="AB40" i="2"/>
  <c r="J33" i="6" s="1"/>
  <c r="M33" i="6" s="1"/>
  <c r="O33" i="6" s="1"/>
  <c r="N24" i="8"/>
  <c r="N25" i="8"/>
  <c r="AF42" i="2"/>
  <c r="M36" i="6"/>
  <c r="O36" i="6" s="1"/>
  <c r="P25" i="8"/>
  <c r="AF34" i="2"/>
  <c r="J16" i="5"/>
  <c r="L16" i="5" s="1"/>
  <c r="N16" i="5" s="1"/>
  <c r="Y50" i="2"/>
  <c r="Z50" i="2" s="1"/>
  <c r="L29" i="8"/>
  <c r="M29" i="8" s="1"/>
  <c r="Y58" i="2"/>
  <c r="Z58" i="2" s="1"/>
  <c r="L31" i="8"/>
  <c r="M31" i="8" s="1"/>
  <c r="Y83" i="2"/>
  <c r="Z83" i="2" s="1"/>
  <c r="L33" i="8"/>
  <c r="M33" i="8" s="1"/>
  <c r="N45" i="4"/>
  <c r="P45" i="4" s="1"/>
  <c r="L43" i="8"/>
  <c r="M43" i="8" s="1"/>
  <c r="Y107" i="2"/>
  <c r="Z107" i="2" s="1"/>
  <c r="L40" i="8"/>
  <c r="M40" i="8" s="1"/>
  <c r="Y104" i="2"/>
  <c r="Z104" i="2" s="1"/>
  <c r="L16" i="8"/>
  <c r="M16" i="8" s="1"/>
  <c r="Y26" i="2"/>
  <c r="Z26" i="2" s="1"/>
  <c r="Y48" i="2"/>
  <c r="Z48" i="2" s="1"/>
  <c r="N28" i="8" s="1"/>
  <c r="L14" i="8"/>
  <c r="M14" i="8" s="1"/>
  <c r="Y24" i="2"/>
  <c r="Z24" i="2" s="1"/>
  <c r="Q10" i="1"/>
  <c r="P13" i="4"/>
  <c r="L34" i="8"/>
  <c r="M34" i="8" s="1"/>
  <c r="Y98" i="2"/>
  <c r="Z98" i="2" s="1"/>
  <c r="L36" i="8"/>
  <c r="M36" i="8" s="1"/>
  <c r="Y100" i="2"/>
  <c r="Z100" i="2" s="1"/>
  <c r="L9" i="8"/>
  <c r="M9" i="8" s="1"/>
  <c r="Y19" i="2"/>
  <c r="Z19" i="2" s="1"/>
  <c r="L42" i="8"/>
  <c r="M42" i="8" s="1"/>
  <c r="Y106" i="2"/>
  <c r="Z106" i="2" s="1"/>
  <c r="L21" i="8"/>
  <c r="M21" i="8" s="1"/>
  <c r="Y31" i="2"/>
  <c r="Z31" i="2" s="1"/>
  <c r="L44" i="8"/>
  <c r="M44" i="8" s="1"/>
  <c r="Y108" i="2"/>
  <c r="Z108" i="2" s="1"/>
  <c r="L38" i="8"/>
  <c r="M38" i="8" s="1"/>
  <c r="Y102" i="2"/>
  <c r="Z102" i="2" s="1"/>
  <c r="L5" i="8"/>
  <c r="M5" i="8" s="1"/>
  <c r="Y15" i="2"/>
  <c r="Z15" i="2" s="1"/>
  <c r="L18" i="8"/>
  <c r="M18" i="8" s="1"/>
  <c r="Y28" i="2"/>
  <c r="Z28" i="2" s="1"/>
  <c r="L17" i="8"/>
  <c r="M17" i="8" s="1"/>
  <c r="Y27" i="2"/>
  <c r="Z27" i="2" s="1"/>
  <c r="L27" i="8"/>
  <c r="M27" i="8" s="1"/>
  <c r="Y45" i="2"/>
  <c r="Z45" i="2" s="1"/>
  <c r="L13" i="8"/>
  <c r="M13" i="8" s="1"/>
  <c r="Y23" i="2"/>
  <c r="Z23" i="2" s="1"/>
  <c r="L22" i="8"/>
  <c r="M22" i="8" s="1"/>
  <c r="Y32" i="2"/>
  <c r="Z32" i="2" s="1"/>
  <c r="L41" i="8"/>
  <c r="M41" i="8" s="1"/>
  <c r="Y105" i="2"/>
  <c r="Z105" i="2" s="1"/>
  <c r="I34" i="5"/>
  <c r="J56" i="3"/>
  <c r="K56" i="3"/>
  <c r="Y59" i="2"/>
  <c r="Z59" i="2" s="1"/>
  <c r="L6" i="8"/>
  <c r="M6" i="8" s="1"/>
  <c r="Y16" i="2"/>
  <c r="Z16" i="2" s="1"/>
  <c r="L23" i="8"/>
  <c r="M23" i="8" s="1"/>
  <c r="Y33" i="2"/>
  <c r="Z33" i="2" s="1"/>
  <c r="L11" i="8"/>
  <c r="M11" i="8" s="1"/>
  <c r="Y21" i="2"/>
  <c r="Z21" i="2" s="1"/>
  <c r="L30" i="8"/>
  <c r="M30" i="8" s="1"/>
  <c r="Y52" i="2"/>
  <c r="Z52" i="2" s="1"/>
  <c r="L12" i="8"/>
  <c r="M12" i="8" s="1"/>
  <c r="Y22" i="2"/>
  <c r="Z22" i="2" s="1"/>
  <c r="L8" i="8"/>
  <c r="M8" i="8" s="1"/>
  <c r="Y18" i="2"/>
  <c r="Z18" i="2" s="1"/>
  <c r="L10" i="8"/>
  <c r="M10" i="8" s="1"/>
  <c r="Y20" i="2"/>
  <c r="Z20" i="2" s="1"/>
  <c r="L26" i="8"/>
  <c r="M26" i="8" s="1"/>
  <c r="Y43" i="2"/>
  <c r="Z43" i="2" s="1"/>
  <c r="L19" i="8"/>
  <c r="M19" i="8" s="1"/>
  <c r="Y29" i="2"/>
  <c r="Z29" i="2" s="1"/>
  <c r="Y67" i="2"/>
  <c r="Z67" i="2" s="1"/>
  <c r="N32" i="8" s="1"/>
  <c r="L15" i="8"/>
  <c r="M15" i="8" s="1"/>
  <c r="Y25" i="2"/>
  <c r="Z25" i="2" s="1"/>
  <c r="L39" i="8"/>
  <c r="M39" i="8" s="1"/>
  <c r="Y103" i="2"/>
  <c r="Z103" i="2" s="1"/>
  <c r="L35" i="8"/>
  <c r="M35" i="8" s="1"/>
  <c r="Y99" i="2"/>
  <c r="Z99" i="2" s="1"/>
  <c r="L7" i="8"/>
  <c r="M7" i="8" s="1"/>
  <c r="Y17" i="2"/>
  <c r="Z17" i="2" s="1"/>
  <c r="I4" i="8"/>
  <c r="I15" i="6"/>
  <c r="T124" i="2"/>
  <c r="T125" i="2" s="1"/>
  <c r="X14" i="2"/>
  <c r="I48" i="4"/>
  <c r="L50" i="4"/>
  <c r="L20" i="8"/>
  <c r="M20" i="8" s="1"/>
  <c r="Y30" i="2"/>
  <c r="Z30" i="2" s="1"/>
  <c r="L37" i="8"/>
  <c r="M37" i="8" s="1"/>
  <c r="Y101" i="2"/>
  <c r="Z101" i="2" s="1"/>
  <c r="I46" i="8" l="1"/>
  <c r="R48" i="8" s="1"/>
  <c r="R51" i="8" s="1"/>
  <c r="J4" i="8"/>
  <c r="J45" i="8" s="1"/>
  <c r="P24" i="8"/>
  <c r="AF40" i="2"/>
  <c r="J36" i="3"/>
  <c r="AG42" i="2"/>
  <c r="K36" i="3" s="1"/>
  <c r="J14" i="3"/>
  <c r="AG34" i="2"/>
  <c r="K14" i="3" s="1"/>
  <c r="N29" i="8"/>
  <c r="AB50" i="2"/>
  <c r="AB58" i="2"/>
  <c r="N31" i="8"/>
  <c r="AB83" i="2"/>
  <c r="N33" i="8"/>
  <c r="N50" i="4"/>
  <c r="AB67" i="2"/>
  <c r="N7" i="8"/>
  <c r="AB17" i="2"/>
  <c r="N39" i="8"/>
  <c r="AB103" i="2"/>
  <c r="N12" i="8"/>
  <c r="AB22" i="2"/>
  <c r="N11" i="8"/>
  <c r="AB21" i="2"/>
  <c r="N6" i="8"/>
  <c r="AB16" i="2"/>
  <c r="N41" i="8"/>
  <c r="AB105" i="2"/>
  <c r="N13" i="8"/>
  <c r="AB23" i="2"/>
  <c r="N17" i="8"/>
  <c r="AB27" i="2"/>
  <c r="N5" i="8"/>
  <c r="AB15" i="2"/>
  <c r="Y5" i="2" s="1"/>
  <c r="N38" i="8"/>
  <c r="AB102" i="2"/>
  <c r="N14" i="8"/>
  <c r="AB24" i="2"/>
  <c r="N16" i="8"/>
  <c r="AB26" i="2"/>
  <c r="N19" i="8"/>
  <c r="AB29" i="2"/>
  <c r="N10" i="8"/>
  <c r="AB20" i="2"/>
  <c r="N21" i="8"/>
  <c r="AB31" i="2"/>
  <c r="N9" i="8"/>
  <c r="AB19" i="2"/>
  <c r="N43" i="8"/>
  <c r="AB107" i="2"/>
  <c r="N20" i="8"/>
  <c r="AB30" i="2"/>
  <c r="P48" i="4"/>
  <c r="P50" i="4" s="1"/>
  <c r="I50" i="4"/>
  <c r="U46" i="4" s="1"/>
  <c r="I56" i="6"/>
  <c r="N35" i="8"/>
  <c r="AB99" i="2"/>
  <c r="N8" i="8"/>
  <c r="AB18" i="2"/>
  <c r="N30" i="8"/>
  <c r="AB52" i="2"/>
  <c r="N23" i="8"/>
  <c r="AB33" i="2"/>
  <c r="J35" i="6" s="1"/>
  <c r="M35" i="6" s="1"/>
  <c r="O35" i="6" s="1"/>
  <c r="AB59" i="2"/>
  <c r="N22" i="8"/>
  <c r="AB32" i="2"/>
  <c r="N27" i="8"/>
  <c r="AB45" i="2"/>
  <c r="N18" i="8"/>
  <c r="AB28" i="2"/>
  <c r="N44" i="8"/>
  <c r="AB108" i="2"/>
  <c r="AB48" i="2"/>
  <c r="N40" i="8"/>
  <c r="AB104" i="2"/>
  <c r="N37" i="8"/>
  <c r="AB101" i="2"/>
  <c r="L4" i="8"/>
  <c r="X124" i="2"/>
  <c r="Y14" i="2"/>
  <c r="N15" i="8"/>
  <c r="AB25" i="2"/>
  <c r="N26" i="8"/>
  <c r="AB43" i="2"/>
  <c r="N42" i="8"/>
  <c r="AB106" i="2"/>
  <c r="N36" i="8"/>
  <c r="AB100" i="2"/>
  <c r="N34" i="8"/>
  <c r="AB98" i="2"/>
  <c r="X49" i="8"/>
  <c r="V54" i="8"/>
  <c r="P28" i="8" l="1"/>
  <c r="J39" i="6"/>
  <c r="M39" i="6" s="1"/>
  <c r="O39" i="6" s="1"/>
  <c r="J16" i="3"/>
  <c r="AG40" i="2"/>
  <c r="K16" i="3" s="1"/>
  <c r="P32" i="8"/>
  <c r="J43" i="6"/>
  <c r="M43" i="6" s="1"/>
  <c r="O43" i="6" s="1"/>
  <c r="J40" i="6"/>
  <c r="M40" i="6" s="1"/>
  <c r="O40" i="6" s="1"/>
  <c r="P29" i="8"/>
  <c r="AF50" i="2"/>
  <c r="Q9" i="1"/>
  <c r="Q11" i="1" s="1"/>
  <c r="AF83" i="2"/>
  <c r="J44" i="6"/>
  <c r="M44" i="6" s="1"/>
  <c r="O44" i="6" s="1"/>
  <c r="P33" i="8"/>
  <c r="AF58" i="2"/>
  <c r="AG58" i="2" s="1"/>
  <c r="J42" i="6"/>
  <c r="M42" i="6" s="1"/>
  <c r="O42" i="6" s="1"/>
  <c r="P31" i="8"/>
  <c r="J47" i="6"/>
  <c r="M47" i="6" s="1"/>
  <c r="O47" i="6" s="1"/>
  <c r="P36" i="8"/>
  <c r="AF100" i="2"/>
  <c r="AG100" i="2" s="1"/>
  <c r="J37" i="6"/>
  <c r="M37" i="6" s="1"/>
  <c r="O37" i="6" s="1"/>
  <c r="P26" i="8"/>
  <c r="AF43" i="2"/>
  <c r="Y124" i="2"/>
  <c r="Z14" i="2"/>
  <c r="P18" i="8"/>
  <c r="J29" i="6"/>
  <c r="M29" i="6" s="1"/>
  <c r="O29" i="6" s="1"/>
  <c r="AF28" i="2"/>
  <c r="P22" i="8"/>
  <c r="J34" i="6"/>
  <c r="M34" i="6" s="1"/>
  <c r="O34" i="6" s="1"/>
  <c r="AF32" i="2"/>
  <c r="P23" i="8"/>
  <c r="AF33" i="2"/>
  <c r="J19" i="6"/>
  <c r="M19" i="6" s="1"/>
  <c r="O19" i="6" s="1"/>
  <c r="P8" i="8"/>
  <c r="AF18" i="2"/>
  <c r="P20" i="8"/>
  <c r="J31" i="6"/>
  <c r="M31" i="6" s="1"/>
  <c r="O31" i="6" s="1"/>
  <c r="AF30" i="2"/>
  <c r="P40" i="8"/>
  <c r="J51" i="6"/>
  <c r="M51" i="6" s="1"/>
  <c r="O51" i="6" s="1"/>
  <c r="AF104" i="2"/>
  <c r="AG104" i="2" s="1"/>
  <c r="P9" i="8"/>
  <c r="J20" i="6"/>
  <c r="M20" i="6" s="1"/>
  <c r="O20" i="6" s="1"/>
  <c r="AF19" i="2"/>
  <c r="J21" i="6"/>
  <c r="M21" i="6" s="1"/>
  <c r="O21" i="6" s="1"/>
  <c r="P10" i="8"/>
  <c r="AF20" i="2"/>
  <c r="P16" i="8"/>
  <c r="J27" i="6"/>
  <c r="M27" i="6" s="1"/>
  <c r="O27" i="6" s="1"/>
  <c r="AF26" i="2"/>
  <c r="P38" i="8"/>
  <c r="J49" i="6"/>
  <c r="M49" i="6" s="1"/>
  <c r="O49" i="6" s="1"/>
  <c r="AF102" i="2"/>
  <c r="AG102" i="2" s="1"/>
  <c r="P17" i="8"/>
  <c r="J28" i="6"/>
  <c r="M28" i="6" s="1"/>
  <c r="O28" i="6" s="1"/>
  <c r="AF27" i="2"/>
  <c r="P41" i="8"/>
  <c r="J52" i="6"/>
  <c r="M52" i="6" s="1"/>
  <c r="O52" i="6" s="1"/>
  <c r="AF105" i="2"/>
  <c r="AG105" i="2" s="1"/>
  <c r="P11" i="8"/>
  <c r="J22" i="6"/>
  <c r="M22" i="6" s="1"/>
  <c r="O22" i="6" s="1"/>
  <c r="AF21" i="2"/>
  <c r="P39" i="8"/>
  <c r="J50" i="6"/>
  <c r="M50" i="6" s="1"/>
  <c r="O50" i="6" s="1"/>
  <c r="AF103" i="2"/>
  <c r="AG103" i="2" s="1"/>
  <c r="AF67" i="2"/>
  <c r="AG67" i="2" s="1"/>
  <c r="P34" i="8"/>
  <c r="J45" i="6"/>
  <c r="M45" i="6" s="1"/>
  <c r="O45" i="6" s="1"/>
  <c r="AF98" i="2"/>
  <c r="AG98" i="2" s="1"/>
  <c r="P42" i="8"/>
  <c r="J53" i="6"/>
  <c r="M53" i="6" s="1"/>
  <c r="O53" i="6" s="1"/>
  <c r="AF106" i="2"/>
  <c r="AG106" i="2" s="1"/>
  <c r="P15" i="8"/>
  <c r="J26" i="6"/>
  <c r="M26" i="6" s="1"/>
  <c r="O26" i="6" s="1"/>
  <c r="AF25" i="2"/>
  <c r="L46" i="8"/>
  <c r="M4" i="8"/>
  <c r="M46" i="8" s="1"/>
  <c r="P44" i="8"/>
  <c r="J55" i="6"/>
  <c r="M55" i="6" s="1"/>
  <c r="O55" i="6" s="1"/>
  <c r="AF108" i="2"/>
  <c r="AG108" i="2" s="1"/>
  <c r="P27" i="8"/>
  <c r="J38" i="6"/>
  <c r="M38" i="6" s="1"/>
  <c r="O38" i="6" s="1"/>
  <c r="AF45" i="2"/>
  <c r="AF59" i="2"/>
  <c r="AG59" i="2" s="1"/>
  <c r="P30" i="8"/>
  <c r="J41" i="6"/>
  <c r="M41" i="6" s="1"/>
  <c r="O41" i="6" s="1"/>
  <c r="AF52" i="2"/>
  <c r="J46" i="6"/>
  <c r="M46" i="6" s="1"/>
  <c r="O46" i="6" s="1"/>
  <c r="P35" i="8"/>
  <c r="AF99" i="2"/>
  <c r="AG99" i="2" s="1"/>
  <c r="P43" i="8"/>
  <c r="J54" i="6"/>
  <c r="M54" i="6" s="1"/>
  <c r="O54" i="6" s="1"/>
  <c r="AF107" i="2"/>
  <c r="AG107" i="2" s="1"/>
  <c r="P37" i="8"/>
  <c r="J48" i="6"/>
  <c r="M48" i="6" s="1"/>
  <c r="O48" i="6" s="1"/>
  <c r="AF101" i="2"/>
  <c r="AG101" i="2" s="1"/>
  <c r="AF48" i="2"/>
  <c r="P21" i="8"/>
  <c r="J32" i="6"/>
  <c r="M32" i="6" s="1"/>
  <c r="O32" i="6" s="1"/>
  <c r="AF31" i="2"/>
  <c r="J30" i="6"/>
  <c r="M30" i="6" s="1"/>
  <c r="O30" i="6" s="1"/>
  <c r="P19" i="8"/>
  <c r="AF29" i="2"/>
  <c r="J25" i="6"/>
  <c r="M25" i="6" s="1"/>
  <c r="O25" i="6" s="1"/>
  <c r="P14" i="8"/>
  <c r="AF24" i="2"/>
  <c r="P5" i="8"/>
  <c r="J16" i="6"/>
  <c r="M16" i="6" s="1"/>
  <c r="O16" i="6" s="1"/>
  <c r="AF15" i="2"/>
  <c r="P13" i="8"/>
  <c r="J24" i="6"/>
  <c r="M24" i="6" s="1"/>
  <c r="O24" i="6" s="1"/>
  <c r="AF23" i="2"/>
  <c r="J17" i="6"/>
  <c r="M17" i="6" s="1"/>
  <c r="O17" i="6" s="1"/>
  <c r="P6" i="8"/>
  <c r="AF16" i="2"/>
  <c r="J23" i="6"/>
  <c r="M23" i="6" s="1"/>
  <c r="O23" i="6" s="1"/>
  <c r="P12" i="8"/>
  <c r="AF22" i="2"/>
  <c r="P7" i="8"/>
  <c r="J18" i="6"/>
  <c r="M18" i="6" s="1"/>
  <c r="O18" i="6" s="1"/>
  <c r="AF17" i="2"/>
  <c r="J19" i="5"/>
  <c r="J76" i="3" l="1"/>
  <c r="AG50" i="2"/>
  <c r="K76" i="3" s="1"/>
  <c r="AG83" i="2"/>
  <c r="K67" i="3" s="1"/>
  <c r="J67" i="3"/>
  <c r="J30" i="3"/>
  <c r="K30" i="3"/>
  <c r="J46" i="3"/>
  <c r="AG23" i="2"/>
  <c r="K46" i="3" s="1"/>
  <c r="J74" i="3"/>
  <c r="AG48" i="2"/>
  <c r="K74" i="3" s="1"/>
  <c r="J85" i="3"/>
  <c r="AG52" i="2"/>
  <c r="K85" i="3" s="1"/>
  <c r="J98" i="3"/>
  <c r="K98" i="3"/>
  <c r="J99" i="3"/>
  <c r="K99" i="3"/>
  <c r="J40" i="3"/>
  <c r="AG20" i="2"/>
  <c r="K40" i="3" s="1"/>
  <c r="J32" i="3"/>
  <c r="AG18" i="2"/>
  <c r="K32" i="3" s="1"/>
  <c r="N4" i="8"/>
  <c r="N46" i="8" s="1"/>
  <c r="Z124" i="2"/>
  <c r="AB14" i="2"/>
  <c r="J42" i="3"/>
  <c r="AG16" i="2"/>
  <c r="K42" i="3" s="1"/>
  <c r="J90" i="3"/>
  <c r="AG31" i="2"/>
  <c r="K90" i="3" s="1"/>
  <c r="J45" i="3"/>
  <c r="K45" i="3"/>
  <c r="J87" i="3"/>
  <c r="K87" i="3"/>
  <c r="J86" i="3"/>
  <c r="K86" i="3"/>
  <c r="J24" i="3"/>
  <c r="AG21" i="2"/>
  <c r="K24" i="3" s="1"/>
  <c r="J55" i="3"/>
  <c r="AG26" i="2"/>
  <c r="K55" i="3" s="1"/>
  <c r="J84" i="3"/>
  <c r="AG30" i="2"/>
  <c r="K84" i="3" s="1"/>
  <c r="J70" i="3"/>
  <c r="AG28" i="2"/>
  <c r="K70" i="3" s="1"/>
  <c r="J92" i="3"/>
  <c r="K92" i="3"/>
  <c r="J34" i="5"/>
  <c r="L19" i="5"/>
  <c r="J34" i="3"/>
  <c r="AG22" i="2"/>
  <c r="K34" i="3" s="1"/>
  <c r="J28" i="3"/>
  <c r="AG29" i="2"/>
  <c r="K28" i="3" s="1"/>
  <c r="J18" i="3"/>
  <c r="K18" i="3"/>
  <c r="J37" i="3"/>
  <c r="AG45" i="2"/>
  <c r="K37" i="3" s="1"/>
  <c r="J25" i="3"/>
  <c r="AG25" i="2"/>
  <c r="K25" i="3" s="1"/>
  <c r="J72" i="3"/>
  <c r="K72" i="3"/>
  <c r="J75" i="3"/>
  <c r="K75" i="3"/>
  <c r="J102" i="3"/>
  <c r="K102" i="3"/>
  <c r="J65" i="3"/>
  <c r="AG32" i="2"/>
  <c r="K65" i="3" s="1"/>
  <c r="J97" i="3"/>
  <c r="AG43" i="2"/>
  <c r="K97" i="3" s="1"/>
  <c r="J39" i="3"/>
  <c r="AG17" i="2"/>
  <c r="K39" i="3" s="1"/>
  <c r="J17" i="3"/>
  <c r="AG15" i="2"/>
  <c r="K17" i="3" s="1"/>
  <c r="J71" i="3"/>
  <c r="AG24" i="2"/>
  <c r="K71" i="3" s="1"/>
  <c r="J104" i="3"/>
  <c r="K104" i="3"/>
  <c r="J103" i="3"/>
  <c r="K103" i="3"/>
  <c r="J35" i="3"/>
  <c r="K35" i="3"/>
  <c r="J68" i="3"/>
  <c r="AG27" i="2"/>
  <c r="K68" i="3" s="1"/>
  <c r="J33" i="3"/>
  <c r="AG19" i="2"/>
  <c r="K33" i="3" s="1"/>
  <c r="J43" i="3"/>
  <c r="AG33" i="2"/>
  <c r="K43" i="3" s="1"/>
  <c r="J15" i="6" l="1"/>
  <c r="P4" i="8"/>
  <c r="P46" i="8" s="1"/>
  <c r="R47" i="8" s="1"/>
  <c r="AB124" i="2"/>
  <c r="AF14" i="2"/>
  <c r="N19" i="5"/>
  <c r="N34" i="5" s="1"/>
  <c r="L34" i="5"/>
  <c r="J15" i="3" l="1"/>
  <c r="AF124" i="2"/>
  <c r="AG14" i="2"/>
  <c r="J56" i="6"/>
  <c r="M15" i="6"/>
  <c r="M56" i="6" l="1"/>
  <c r="O15" i="6"/>
  <c r="O56" i="6" s="1"/>
  <c r="K15" i="3"/>
  <c r="AG124" i="2"/>
</calcChain>
</file>

<file path=xl/sharedStrings.xml><?xml version="1.0" encoding="utf-8"?>
<sst xmlns="http://schemas.openxmlformats.org/spreadsheetml/2006/main" count="1028" uniqueCount="585">
  <si>
    <t>INSTITUTO TECNOLÓGICO E DE PESQUISAS DO ESTADO DE SERGIPE</t>
  </si>
  <si>
    <t>ÓRGÃO DELEGADO DO INSTITUTO  NACIONAL DE METROLOGIA, NORMALIZAÇÃO E QUALIDADE INDUSTRIAL</t>
  </si>
  <si>
    <t xml:space="preserve">                Rua Campo do Brito, 371 - São José - CEP: 49.020-380 - Aracaju-SE - Cx. Postal 115 </t>
  </si>
  <si>
    <t xml:space="preserve">Insc. Est. (Isento) - CNPJ: 07.258.529/0001-59 - Fone: (079) 3179.8088 -  FAX 3179.8090 -  E-mail:gpresi@itps.se.gov.br </t>
  </si>
  <si>
    <t xml:space="preserve">BASE DE CÁLCULO PARA PAGAMENTO  REFERENTE AO "ADICIONAL DE PARTICIPAÇÃO EM SERVIÇOS  DO CONVÊNIO Nº 03/2005 </t>
  </si>
  <si>
    <t>base de cálculo</t>
  </si>
  <si>
    <r>
      <t>FUNDAMENTAÇÃ0 JURÍDICA: RESOLUÇÃO DO C.D. Nº 09/2007 E PORTARIA N</t>
    </r>
    <r>
      <rPr>
        <vertAlign val="superscript"/>
        <sz val="9"/>
        <rFont val="Tahoma"/>
        <family val="2"/>
      </rPr>
      <t>o</t>
    </r>
    <r>
      <rPr>
        <vertAlign val="superscript"/>
        <sz val="9"/>
        <rFont val="Tahoma"/>
        <family val="2"/>
      </rPr>
      <t xml:space="preserve"> 54, de 02 de abril de 2012.</t>
    </r>
  </si>
  <si>
    <t>valor total do convênio</t>
  </si>
  <si>
    <t xml:space="preserve"> empregador+ rat</t>
  </si>
  <si>
    <t>total ( retirada da conta)</t>
  </si>
  <si>
    <t>MÊS</t>
  </si>
  <si>
    <t>VALOR TOTAL ARRECADADO</t>
  </si>
  <si>
    <t>75% DA RECEITA</t>
  </si>
  <si>
    <t>49% DA RECEITA - LRF</t>
  </si>
  <si>
    <t>RESSARCIMENTO AO IBAMETRO</t>
  </si>
  <si>
    <t>CONTINGÊNCIA</t>
  </si>
  <si>
    <t>INCREMENTO</t>
  </si>
  <si>
    <t>BASE DE CÁLCULO</t>
  </si>
  <si>
    <t xml:space="preserve"> VALOR REPASSADO PELA DIRAF</t>
  </si>
  <si>
    <t>COMPLEMENTAR</t>
  </si>
  <si>
    <t>CÁLCULO PARA IMPOSTO DE RENDA E DA CONTRIBUIÇÃO PREVIDENCIÁRIA (INSS)</t>
  </si>
  <si>
    <t>Mês de Referência:</t>
  </si>
  <si>
    <t>Base de Cálculo:</t>
  </si>
  <si>
    <t>DADOS PESSOAIS</t>
  </si>
  <si>
    <t>Base de Cálculo INSS</t>
  </si>
  <si>
    <t>Cálculo do INSS</t>
  </si>
  <si>
    <t>Base de Cálculo IR</t>
  </si>
  <si>
    <t>Cálculo do IRRF</t>
  </si>
  <si>
    <t>Descontos Pensão Alimentícia</t>
  </si>
  <si>
    <t>Reg</t>
  </si>
  <si>
    <t>Nome</t>
  </si>
  <si>
    <t>ADMISSÃO</t>
  </si>
  <si>
    <t>LOTAÇÃO</t>
  </si>
  <si>
    <t>CARGO</t>
  </si>
  <si>
    <t>Tipo</t>
  </si>
  <si>
    <t>Vínculo</t>
  </si>
  <si>
    <t>RG</t>
  </si>
  <si>
    <t>CPF</t>
  </si>
  <si>
    <t>Banco/AG</t>
  </si>
  <si>
    <t>Conta</t>
  </si>
  <si>
    <t>%</t>
  </si>
  <si>
    <t>CONVÊNIO R$</t>
  </si>
  <si>
    <t>Folha SIPES</t>
  </si>
  <si>
    <t>Convênio</t>
  </si>
  <si>
    <t>Total</t>
  </si>
  <si>
    <t>INSS Total Devido</t>
  </si>
  <si>
    <t>INSS DESC SIPES</t>
  </si>
  <si>
    <t>INSS OUTROS</t>
  </si>
  <si>
    <t xml:space="preserve">INSS Devido </t>
  </si>
  <si>
    <t>Valor dependente</t>
  </si>
  <si>
    <t>BC IR SIPES</t>
  </si>
  <si>
    <t>BC IR CONVÊNIO</t>
  </si>
  <si>
    <t>BC Total</t>
  </si>
  <si>
    <t>IRRF Total Devido</t>
  </si>
  <si>
    <t>IRRF DESC SIPES</t>
  </si>
  <si>
    <t xml:space="preserve">IRRF Devido </t>
  </si>
  <si>
    <t>OUTROS</t>
  </si>
  <si>
    <t>Acréscimos</t>
  </si>
  <si>
    <t>DESCONTO TOTAL</t>
  </si>
  <si>
    <t>LÍQUIDO</t>
  </si>
  <si>
    <t>Adailton Andre da Silva Passos</t>
  </si>
  <si>
    <t>Coordenadoria de Metrologia Legal</t>
  </si>
  <si>
    <t>Auxiliar de Gabinete</t>
  </si>
  <si>
    <t>CC</t>
  </si>
  <si>
    <t>CLT</t>
  </si>
  <si>
    <t>20.062.014-4</t>
  </si>
  <si>
    <t>099.021.887-29</t>
  </si>
  <si>
    <t>047/050</t>
  </si>
  <si>
    <t>027261-1</t>
  </si>
  <si>
    <t>Amanda Brás Rocha</t>
  </si>
  <si>
    <t>Diretor de subcoordenadoria de Massa, Volume e Comprimento</t>
  </si>
  <si>
    <t>533.976.065-00</t>
  </si>
  <si>
    <t>047/043</t>
  </si>
  <si>
    <t>018.945-2</t>
  </si>
  <si>
    <t>Eloiza Karoline Alves Santos</t>
  </si>
  <si>
    <t>Subcoordenadoria de Protocolo e Arquivo</t>
  </si>
  <si>
    <t>Subcoordenador de Protocolo</t>
  </si>
  <si>
    <t>3.485.422-3</t>
  </si>
  <si>
    <t>056.024.795-89</t>
  </si>
  <si>
    <t>047/067</t>
  </si>
  <si>
    <t>001.827-2</t>
  </si>
  <si>
    <t>Edvânia Monteiro da Silva</t>
  </si>
  <si>
    <t>3.107.621-1</t>
  </si>
  <si>
    <t>005.294.645-27</t>
  </si>
  <si>
    <t>047/029</t>
  </si>
  <si>
    <t>02/200.213-6</t>
  </si>
  <si>
    <t>Cinthia Rodrigues Neto</t>
  </si>
  <si>
    <t>Coordenadoria de Organismos de Inspeção GNV e Cargas Perigosas</t>
  </si>
  <si>
    <t xml:space="preserve">Diretora de Cordenadoria </t>
  </si>
  <si>
    <t>812.356.825-87</t>
  </si>
  <si>
    <t>Cristiane Barbosa Silva D. Freire</t>
  </si>
  <si>
    <t>Coordenadoria de Produtos Pré Medidos e Metrologia Científica</t>
  </si>
  <si>
    <t>933.530.655-04</t>
  </si>
  <si>
    <t>013158-9</t>
  </si>
  <si>
    <t>Gerência de Metrologia</t>
  </si>
  <si>
    <t>Gerente de Metrologia</t>
  </si>
  <si>
    <t>813.110.445-15</t>
  </si>
  <si>
    <t>044943-2</t>
  </si>
  <si>
    <t xml:space="preserve">Anderson Breno Vasconcelos </t>
  </si>
  <si>
    <t xml:space="preserve"> 01/03/2021</t>
  </si>
  <si>
    <t>Coordenadoria de Serviços Gerais</t>
  </si>
  <si>
    <t>Coordenador de Serviços gerais</t>
  </si>
  <si>
    <t>3.640.535-3</t>
  </si>
  <si>
    <t>067.075.405-64</t>
  </si>
  <si>
    <t>047/065</t>
  </si>
  <si>
    <t>14041-1</t>
  </si>
  <si>
    <t>Cristina Batista de Oliveira</t>
  </si>
  <si>
    <t>Gerência de Recursos Humanos</t>
  </si>
  <si>
    <t>Gerente de Recursos Humanos</t>
  </si>
  <si>
    <t>047.709.425-24</t>
  </si>
  <si>
    <t>047/060</t>
  </si>
  <si>
    <t>004311-3</t>
  </si>
  <si>
    <t>Glauber Andrade Nunes</t>
  </si>
  <si>
    <t>Gerência de Informática</t>
  </si>
  <si>
    <t>Gerente de Informática</t>
  </si>
  <si>
    <t>521.907-2</t>
  </si>
  <si>
    <t>454.911.355-34</t>
  </si>
  <si>
    <t>047/014</t>
  </si>
  <si>
    <t>045170-4</t>
  </si>
  <si>
    <t xml:space="preserve">Maianne Mirelle Costa Santos </t>
  </si>
  <si>
    <t>Gerência de Apoio Administrativo</t>
  </si>
  <si>
    <t>Gerente de Apoio Administrativo</t>
  </si>
  <si>
    <t>2.245.757-7</t>
  </si>
  <si>
    <t>058.566.325-40</t>
  </si>
  <si>
    <t>047/012</t>
  </si>
  <si>
    <t>021.645-0</t>
  </si>
  <si>
    <t>Anny Karolinny Silva de Souza</t>
  </si>
  <si>
    <t>Gerência de Contabilidade e Finanças</t>
  </si>
  <si>
    <t>Coordenador de Orçamento e Finanças</t>
  </si>
  <si>
    <t>2559806-6</t>
  </si>
  <si>
    <t>058.181.145-38</t>
  </si>
  <si>
    <t>005312-7</t>
  </si>
  <si>
    <t>João Trivan Pereira Guimarães</t>
  </si>
  <si>
    <t>Coordenadoria de Serviço de Atendimento ao Cliente</t>
  </si>
  <si>
    <t>Assessor Tecnico Administrativo I</t>
  </si>
  <si>
    <t>364.839.825-34</t>
  </si>
  <si>
    <t>047/048</t>
  </si>
  <si>
    <t>005879-0</t>
  </si>
  <si>
    <t>Luis Adriano Silva de Melo</t>
  </si>
  <si>
    <t>720.583.745-68</t>
  </si>
  <si>
    <t>047/051</t>
  </si>
  <si>
    <t>001.599-4</t>
  </si>
  <si>
    <t>Luziane Cavalcante Ferreira</t>
  </si>
  <si>
    <t>Centro de Memória e Tecnologia de Sergipe</t>
  </si>
  <si>
    <t>Subcoordenador do Centro de Memórias</t>
  </si>
  <si>
    <t>046.844.205-74</t>
  </si>
  <si>
    <t>58214-0</t>
  </si>
  <si>
    <t>Barbara Santana de Andrade</t>
  </si>
  <si>
    <t>Procuradoria Jurídica</t>
  </si>
  <si>
    <t>Assessor Técnico Administrativo II</t>
  </si>
  <si>
    <t>017.467.655-77</t>
  </si>
  <si>
    <t>827231-0</t>
  </si>
  <si>
    <t>Mayra Oliveira Nunes Lima</t>
  </si>
  <si>
    <t>Coordenadoria de Produtos Industrializados</t>
  </si>
  <si>
    <t>Coordenador de Produtos Industrializados</t>
  </si>
  <si>
    <t>3.081.103-1</t>
  </si>
  <si>
    <t>013.683.915-08</t>
  </si>
  <si>
    <t>047/015</t>
  </si>
  <si>
    <t>Reginaldo Santos Aragão</t>
  </si>
  <si>
    <t>938.422-7</t>
  </si>
  <si>
    <t>973.002.335-20</t>
  </si>
  <si>
    <t>047/028</t>
  </si>
  <si>
    <t>017734-5</t>
  </si>
  <si>
    <t>Livia Felix Campos</t>
  </si>
  <si>
    <t>Assessor Técnico Administrativo I</t>
  </si>
  <si>
    <t>3.143.489-4</t>
  </si>
  <si>
    <t>048.675.005-18</t>
  </si>
  <si>
    <t>047/011</t>
  </si>
  <si>
    <t>043.624-0</t>
  </si>
  <si>
    <t xml:space="preserve">Elvis Cardoso da Mota </t>
  </si>
  <si>
    <t>Coordenadoria de Transportes</t>
  </si>
  <si>
    <t>Coordenador de Transporte</t>
  </si>
  <si>
    <t>532.864.305-44</t>
  </si>
  <si>
    <t>058.519-0</t>
  </si>
  <si>
    <t xml:space="preserve">Acácia Maria N. Rosa Marques </t>
  </si>
  <si>
    <t>Subcoordenadoria  de Protocolo e Arquivo</t>
  </si>
  <si>
    <t>Oficial Administrativo</t>
  </si>
  <si>
    <t>CE</t>
  </si>
  <si>
    <t>EST</t>
  </si>
  <si>
    <t>360.823.765-87</t>
  </si>
  <si>
    <t>044180-6</t>
  </si>
  <si>
    <t>Abel Freire Freitas</t>
  </si>
  <si>
    <t>Agente Administrativo</t>
  </si>
  <si>
    <t>357.638.685-87</t>
  </si>
  <si>
    <t>02220-6</t>
  </si>
  <si>
    <t>Belisdete Barbosa dos Santos</t>
  </si>
  <si>
    <t>Diretoria Técnica</t>
  </si>
  <si>
    <t>806.913-1</t>
  </si>
  <si>
    <t>312.475.805-63</t>
  </si>
  <si>
    <t>004643-5</t>
  </si>
  <si>
    <t>Carlos Alberto de Alcântara</t>
  </si>
  <si>
    <t>Coordenadoria de Documentação e Inspeção</t>
  </si>
  <si>
    <t>Coordenador de Documentação e Inspeção</t>
  </si>
  <si>
    <t>150.956.735-68</t>
  </si>
  <si>
    <t>068795-3</t>
  </si>
  <si>
    <t>Lucia Calumby Barreto de Mecedo</t>
  </si>
  <si>
    <t>Química Industrial</t>
  </si>
  <si>
    <t>252.453.845-15</t>
  </si>
  <si>
    <t>03709-6</t>
  </si>
  <si>
    <t>Eduardo José dos Santos Filho</t>
  </si>
  <si>
    <t>28/061984</t>
  </si>
  <si>
    <t>Técnico em Contabilidade</t>
  </si>
  <si>
    <t>201.872.625-00</t>
  </si>
  <si>
    <t>047/034</t>
  </si>
  <si>
    <t>002670-8</t>
  </si>
  <si>
    <t>Especialista em Políticas Publicas e Gestão Governamental</t>
  </si>
  <si>
    <t>047/058</t>
  </si>
  <si>
    <t>Gustavo Silva de Araújo</t>
  </si>
  <si>
    <t>Oficial Administrativa</t>
  </si>
  <si>
    <t>114.938-3</t>
  </si>
  <si>
    <t>983.828.885-34</t>
  </si>
  <si>
    <t>067872-5</t>
  </si>
  <si>
    <t>Gabinete da Presidência</t>
  </si>
  <si>
    <t>Chefe de Gabinete</t>
  </si>
  <si>
    <t>Joao Augusto Sizino Franco</t>
  </si>
  <si>
    <t>278.132.745-04</t>
  </si>
  <si>
    <t>047/018</t>
  </si>
  <si>
    <t>000366-8</t>
  </si>
  <si>
    <t>Deborah Sena França</t>
  </si>
  <si>
    <t>Diretor II</t>
  </si>
  <si>
    <t>3.128.469-8</t>
  </si>
  <si>
    <t>043.829.165-42</t>
  </si>
  <si>
    <t>048620-6</t>
  </si>
  <si>
    <t>Jose Augusto Gois Felipe</t>
  </si>
  <si>
    <t>Gerência Executiva de Metrologia, Normalização e Qualidade Industrial</t>
  </si>
  <si>
    <t>278.962-0</t>
  </si>
  <si>
    <t>236.359.325-15</t>
  </si>
  <si>
    <t>039140-0</t>
  </si>
  <si>
    <t>Assistente Administrativo</t>
  </si>
  <si>
    <t>Presidência</t>
  </si>
  <si>
    <t>Engenheiro Químico</t>
  </si>
  <si>
    <t>Assessoria Geral de Planejamento</t>
  </si>
  <si>
    <t>Mário José da Costa S. Filho</t>
  </si>
  <si>
    <t>Executor de Serviços Básicos</t>
  </si>
  <si>
    <t>568.063-4</t>
  </si>
  <si>
    <t>239.375.135-15</t>
  </si>
  <si>
    <t>026611-7</t>
  </si>
  <si>
    <t>Carlos André Carvalho Santana Souza</t>
  </si>
  <si>
    <t>3.557.736-3</t>
  </si>
  <si>
    <t>061.770.515-10</t>
  </si>
  <si>
    <t>087131-2</t>
  </si>
  <si>
    <t>José Serafim Bastos F. de Souza</t>
  </si>
  <si>
    <t>Motorista</t>
  </si>
  <si>
    <t>007.163.588-24</t>
  </si>
  <si>
    <t>006563-4</t>
  </si>
  <si>
    <t>Raimundo de Sales e Silva Filho</t>
  </si>
  <si>
    <t>Professor de Educação Básica</t>
  </si>
  <si>
    <t>275.385.915-91</t>
  </si>
  <si>
    <t>08864-9</t>
  </si>
  <si>
    <t>Rejane de Jesus Siqueira</t>
  </si>
  <si>
    <t>584350505-72</t>
  </si>
  <si>
    <t>019935-3</t>
  </si>
  <si>
    <t>Rose Carla da Silva P. Matos</t>
  </si>
  <si>
    <t>534.093.615-53</t>
  </si>
  <si>
    <t>047/064</t>
  </si>
  <si>
    <t>001.924-0</t>
  </si>
  <si>
    <t>Sonia Maria Soares Andrade</t>
  </si>
  <si>
    <t>308.146-0</t>
  </si>
  <si>
    <t>423.791.995-15</t>
  </si>
  <si>
    <t>000955-6</t>
  </si>
  <si>
    <t>Wando Ribeiro dos Santos</t>
  </si>
  <si>
    <t>008.541.795-50</t>
  </si>
  <si>
    <t>008061-3</t>
  </si>
  <si>
    <t>Abigail Vieira de A. Mendonça</t>
  </si>
  <si>
    <t>Coordenadoria de Produtos Pré-Medidos e Metrologia Científica</t>
  </si>
  <si>
    <t>Coordenador de Produtos Pré Medidos e Metrologia Científica</t>
  </si>
  <si>
    <t>EF</t>
  </si>
  <si>
    <t>EFE</t>
  </si>
  <si>
    <t>209.939-0</t>
  </si>
  <si>
    <t>119.968.625-53</t>
  </si>
  <si>
    <t>000057-5</t>
  </si>
  <si>
    <t>Anamira dos Santos Lima</t>
  </si>
  <si>
    <t>295.935.735-34</t>
  </si>
  <si>
    <t>003405-4</t>
  </si>
  <si>
    <t>Ana Inêz Moraes de Faria</t>
  </si>
  <si>
    <t>361.188-4</t>
  </si>
  <si>
    <t>103.275.175-49</t>
  </si>
  <si>
    <t>005561-2</t>
  </si>
  <si>
    <t>Ana Maria Alves dos Santos</t>
  </si>
  <si>
    <t>503.226-1</t>
  </si>
  <si>
    <t>236.232.335-87</t>
  </si>
  <si>
    <t>041160-5</t>
  </si>
  <si>
    <t>Ana Paula Araújo Costa</t>
  </si>
  <si>
    <t>Auxiliar Técnico</t>
  </si>
  <si>
    <t>217.024.545-68</t>
  </si>
  <si>
    <t>003283-0</t>
  </si>
  <si>
    <t>Anselmo Alves Secundo</t>
  </si>
  <si>
    <t>Tecnico em Quimica</t>
  </si>
  <si>
    <t>685.503-2</t>
  </si>
  <si>
    <t>361.612.925-72</t>
  </si>
  <si>
    <t>002531-4</t>
  </si>
  <si>
    <t>Assessor Extraordinário II</t>
  </si>
  <si>
    <t>Carlos Roberto dos Santos</t>
  </si>
  <si>
    <t>578.020-9</t>
  </si>
  <si>
    <t>269.803.805-59</t>
  </si>
  <si>
    <t>017403-4</t>
  </si>
  <si>
    <t>Eleilde Santos da Cruz</t>
  </si>
  <si>
    <t>Telefonista</t>
  </si>
  <si>
    <t>467.138-4</t>
  </si>
  <si>
    <t>235.970.205-00</t>
  </si>
  <si>
    <t>011514-3</t>
  </si>
  <si>
    <t>Francisco Gonçalves dos S. Junior</t>
  </si>
  <si>
    <t>Tecnico em Edificações</t>
  </si>
  <si>
    <t>664.571-2</t>
  </si>
  <si>
    <t>336.967.995-72</t>
  </si>
  <si>
    <t>003296-5</t>
  </si>
  <si>
    <t>Gláucia Maria Andrade Ferreira</t>
  </si>
  <si>
    <t>584.481-9</t>
  </si>
  <si>
    <t>201.934.755-53</t>
  </si>
  <si>
    <t>011021-4</t>
  </si>
  <si>
    <t>Grace Cristina Almeida Fonseca</t>
  </si>
  <si>
    <t>Diretoria Administrativa e Financeira</t>
  </si>
  <si>
    <t>841.331-2</t>
  </si>
  <si>
    <t>415.332.405-15</t>
  </si>
  <si>
    <t>52795-6</t>
  </si>
  <si>
    <t>Irene Alves Campos Santana</t>
  </si>
  <si>
    <t>Tecnico em Contabilidade</t>
  </si>
  <si>
    <t>291.081-0</t>
  </si>
  <si>
    <t>153.978.405-30</t>
  </si>
  <si>
    <t>020.304-2</t>
  </si>
  <si>
    <t>Ana Virgínia Dantas Figueiredo</t>
  </si>
  <si>
    <t>Gerência de Atividades Técnicas</t>
  </si>
  <si>
    <t>154.636.055-72</t>
  </si>
  <si>
    <t xml:space="preserve">Izaura Augusta G. Mendonça </t>
  </si>
  <si>
    <t>300.439-2</t>
  </si>
  <si>
    <t>189.463.485-34</t>
  </si>
  <si>
    <t>005384-9</t>
  </si>
  <si>
    <t>Jadson Dias da Silva*</t>
  </si>
  <si>
    <t>Auxiliar de Laboratório</t>
  </si>
  <si>
    <t>767.029-0</t>
  </si>
  <si>
    <t>479.232.375-49</t>
  </si>
  <si>
    <t>017369-0</t>
  </si>
  <si>
    <t>Hilton Rubens Aragão Prado</t>
  </si>
  <si>
    <t>531.638.855-00</t>
  </si>
  <si>
    <t>0016745-0</t>
  </si>
  <si>
    <t>José Adebaldo N. de Andrade</t>
  </si>
  <si>
    <t>750.495-0</t>
  </si>
  <si>
    <t>311.992.595-00</t>
  </si>
  <si>
    <t>002553-5</t>
  </si>
  <si>
    <t>José Carlos Bezerra Brás</t>
  </si>
  <si>
    <t>325.044-0</t>
  </si>
  <si>
    <t>138.119.405-20</t>
  </si>
  <si>
    <t>012375-8</t>
  </si>
  <si>
    <t>José Euzébio F. dos Santos</t>
  </si>
  <si>
    <t>525.529-5</t>
  </si>
  <si>
    <t>276.368.015-15</t>
  </si>
  <si>
    <t>017316-0</t>
  </si>
  <si>
    <t>José Luiz dos Santos Ramos</t>
  </si>
  <si>
    <t>388.214-4</t>
  </si>
  <si>
    <t>375.588.975-72</t>
  </si>
  <si>
    <t>012378-2</t>
  </si>
  <si>
    <t>José Ramos Figueiredo Filho</t>
  </si>
  <si>
    <t>733.684-5</t>
  </si>
  <si>
    <t>358.427.095-20</t>
  </si>
  <si>
    <t>004254-5</t>
  </si>
  <si>
    <t xml:space="preserve">Luiz Alberto Passos Santos </t>
  </si>
  <si>
    <t>342.098-1</t>
  </si>
  <si>
    <t>138.750.865-20</t>
  </si>
  <si>
    <t>000098-2</t>
  </si>
  <si>
    <t>Manoel Luiz de Andrade</t>
  </si>
  <si>
    <t>170.238.075-00</t>
  </si>
  <si>
    <t>27129-3</t>
  </si>
  <si>
    <t>Maria Inêz de Almeida Machado</t>
  </si>
  <si>
    <t>Químico Industrial</t>
  </si>
  <si>
    <t>576.481-5</t>
  </si>
  <si>
    <t>393.993.975-72</t>
  </si>
  <si>
    <t>005843-3</t>
  </si>
  <si>
    <t>Maria Jucileide S. F. Almeida</t>
  </si>
  <si>
    <t>Tecnico em Químico</t>
  </si>
  <si>
    <t>505.411-7</t>
  </si>
  <si>
    <t>382.233.415-49</t>
  </si>
  <si>
    <t>018249-5</t>
  </si>
  <si>
    <t>Maria Lenalda Alves S. Azevedo</t>
  </si>
  <si>
    <t>538.714-0</t>
  </si>
  <si>
    <t>151.072.215-72</t>
  </si>
  <si>
    <t>004661-5</t>
  </si>
  <si>
    <t>Maria Lucia dos Santos Ferreira</t>
  </si>
  <si>
    <t>Asssistente Administrativo</t>
  </si>
  <si>
    <t>265.146.995-53</t>
  </si>
  <si>
    <t>002496-2</t>
  </si>
  <si>
    <t xml:space="preserve">Maria Marta dos Santos </t>
  </si>
  <si>
    <t>tecnico em Edificações</t>
  </si>
  <si>
    <t>526.131-7</t>
  </si>
  <si>
    <t>265.505.045-20</t>
  </si>
  <si>
    <t>003385-6</t>
  </si>
  <si>
    <t>Marleide Batista de Oliveira</t>
  </si>
  <si>
    <t>15/061982</t>
  </si>
  <si>
    <t>Gerência de Qualidade e Produtos Certificados</t>
  </si>
  <si>
    <t>674.048-0</t>
  </si>
  <si>
    <t>256.850.905-87</t>
  </si>
  <si>
    <t>025756-8</t>
  </si>
  <si>
    <t>Rosemary Menezes Oliveira</t>
  </si>
  <si>
    <t>264.901.025-87</t>
  </si>
  <si>
    <t>3623-5</t>
  </si>
  <si>
    <t>Rafael Fortunato dos Santos</t>
  </si>
  <si>
    <t>540.651-0</t>
  </si>
  <si>
    <t>276.514.955-00</t>
  </si>
  <si>
    <t>003117-9</t>
  </si>
  <si>
    <t>Risoleta Mariano Miranda da Silva</t>
  </si>
  <si>
    <t>103.852.665-53</t>
  </si>
  <si>
    <t>057880-1</t>
  </si>
  <si>
    <t>264.616.685-00</t>
  </si>
  <si>
    <t>032.737-0</t>
  </si>
  <si>
    <t>Tania Cristina Castro de Oliveira</t>
  </si>
  <si>
    <t>520.955-2</t>
  </si>
  <si>
    <t>356.167.095-49</t>
  </si>
  <si>
    <t>016956-8</t>
  </si>
  <si>
    <t>Tânia Lima de Azevedo</t>
  </si>
  <si>
    <t>424.163-0</t>
  </si>
  <si>
    <t>517.828.715-00</t>
  </si>
  <si>
    <t>003297-3</t>
  </si>
  <si>
    <t>Tâmara Karoline de Oliveira Fontes</t>
  </si>
  <si>
    <t>Assessoria Geral de Gestão de Qualidade</t>
  </si>
  <si>
    <t>Assessor Geral  de Gestão de Qualidade</t>
  </si>
  <si>
    <t>318.488.50</t>
  </si>
  <si>
    <t>040.446.101-85</t>
  </si>
  <si>
    <t>011718-5</t>
  </si>
  <si>
    <t xml:space="preserve">Gabriela Gonçalves Santos de Oliveira </t>
  </si>
  <si>
    <t>Chefe de Procuradoria</t>
  </si>
  <si>
    <t>120.773.937-5</t>
  </si>
  <si>
    <t>052.897.235-95</t>
  </si>
  <si>
    <t>202041-3</t>
  </si>
  <si>
    <t>Diretor Administrativo e Financeiro</t>
  </si>
  <si>
    <t>BB/1603-9</t>
  </si>
  <si>
    <t>Gerência de Projetos e Convênios</t>
  </si>
  <si>
    <t>Assessor III</t>
  </si>
  <si>
    <t>Marcela Costa Ribeiro Santos</t>
  </si>
  <si>
    <t xml:space="preserve">Assessor Executivo Para Assuntos Tec. Legislativo </t>
  </si>
  <si>
    <t>3.092.089-2</t>
  </si>
  <si>
    <t>018.511.195-58</t>
  </si>
  <si>
    <t>20129-4</t>
  </si>
  <si>
    <t>Manoel Lisboa Feitosa Júnior</t>
  </si>
  <si>
    <t>Coordenadoria de Servços Gerais</t>
  </si>
  <si>
    <t>3.059.774-9</t>
  </si>
  <si>
    <t>269.887.518-66</t>
  </si>
  <si>
    <t>002120-9</t>
  </si>
  <si>
    <t>Thaíse Michelle Menezes dos Santos</t>
  </si>
  <si>
    <t>Subcoordenadoria de Produtos Regulamentados e Certificados Compulsoriamente</t>
  </si>
  <si>
    <t>Subcoordenador de Produtos Regulamentados e Certificados Compulsoriamente</t>
  </si>
  <si>
    <t xml:space="preserve">3.067.329-1 </t>
  </si>
  <si>
    <t>008.838.775-54</t>
  </si>
  <si>
    <t>053.156-2</t>
  </si>
  <si>
    <t>Natali Leite dos Santos</t>
  </si>
  <si>
    <t>Subcoordenador de Contabilidade</t>
  </si>
  <si>
    <t>043.036.055-06</t>
  </si>
  <si>
    <t>057300-1</t>
  </si>
  <si>
    <t>Ana Carolina Cardoso da Mota</t>
  </si>
  <si>
    <t>Gerente de Projetos e Convenios</t>
  </si>
  <si>
    <t>3.048.792-7</t>
  </si>
  <si>
    <t>036.414.315-06</t>
  </si>
  <si>
    <t>058258-2</t>
  </si>
  <si>
    <t>Polyana Souza da Silva</t>
  </si>
  <si>
    <t>Coordenadoria de Administração de Pessoal</t>
  </si>
  <si>
    <t xml:space="preserve">Coordenadora de Adm. Pessoal </t>
  </si>
  <si>
    <t>3.857.707-0</t>
  </si>
  <si>
    <t>077.142.675-50</t>
  </si>
  <si>
    <t>59708-3</t>
  </si>
  <si>
    <t>TOTAL</t>
  </si>
  <si>
    <t>Ana lucia *</t>
  </si>
  <si>
    <t>PA</t>
  </si>
  <si>
    <t>62884-0</t>
  </si>
  <si>
    <t>Multa de trânsito*</t>
  </si>
  <si>
    <t>TE</t>
  </si>
  <si>
    <t>TES</t>
  </si>
  <si>
    <t>394.942.412-15</t>
  </si>
  <si>
    <t>82467-7</t>
  </si>
  <si>
    <t>** Desconto de 23% , a título de alimentos segundo o processo judicial 200990001158, e processo adminstrativo 015.000.28196/2009-1, a ser depositado em nome de JEANE CLEMENTINO DA SILVA ROCHA, agencia 029, conta 01/013509-8 do BANESE, em favor do filho do servidor JOSÉ VITOR DA SILVA ROCHA(autorização do servidor em descontar nessa folha de pagamento).</t>
  </si>
  <si>
    <t>FOLHA DE PAGAMENTO /ADICIONAL DE PARTICIPAÇÃO EM SERVIÇOS DE CONVÊNIO (CONVÊNIO Nº 24/2013, DE 29/11/2013, PUBLICADO NO DOU DE 02/12/2013 )</t>
  </si>
  <si>
    <t>Nº</t>
  </si>
  <si>
    <t>SERVIDOR</t>
  </si>
  <si>
    <t>SETOR</t>
  </si>
  <si>
    <t>VÍNCULO</t>
  </si>
  <si>
    <t>PROVENTOS</t>
  </si>
  <si>
    <t>DESCONTO</t>
  </si>
  <si>
    <t xml:space="preserve">Atualizado em </t>
  </si>
  <si>
    <t xml:space="preserve">FOLHA DE PAGAMENTO / EFETIVOS  REFERENTE AO "ADICIONAL DE PARTICIPAÇÃO EM SERVIÇOS  DE CONVÊNIO" </t>
  </si>
  <si>
    <t xml:space="preserve">CONVÊNIO Nº 24/2013, DE 29/11/2013, PUBLICADO NO DOU DE 02/12/2013 </t>
  </si>
  <si>
    <t xml:space="preserve">                                                                                              BASE DE CÁLCULO: </t>
  </si>
  <si>
    <t>DESCONTOS</t>
  </si>
  <si>
    <t>ACRÉSCIMO</t>
  </si>
  <si>
    <t>VALOR A RECEBER</t>
  </si>
  <si>
    <t>NOME</t>
  </si>
  <si>
    <t>RG/D Nº</t>
  </si>
  <si>
    <t>BCO/AG</t>
  </si>
  <si>
    <t>CONTA</t>
  </si>
  <si>
    <t>VALOR (R$)</t>
  </si>
  <si>
    <t>INSS</t>
  </si>
  <si>
    <t>IRRF</t>
  </si>
  <si>
    <r>
      <t xml:space="preserve">PENSÃO </t>
    </r>
    <r>
      <rPr>
        <b/>
        <sz val="7"/>
        <rFont val="Tahoma"/>
        <family val="2"/>
      </rPr>
      <t>ALIMENTICIA</t>
    </r>
  </si>
  <si>
    <t xml:space="preserve">* Desconto de 23% , a título de alimentos segundo o processo judicial 200990001158. </t>
  </si>
  <si>
    <t xml:space="preserve">FOLHA DE PAGAMENTO / CEDIDOS  REFERENTE AO "ADICIONAL DE PARTICIPAÇÃO EM SERVIÇOS  DE CONVÊNIO" </t>
  </si>
  <si>
    <t>CONVÊNIO Nº 24/2013, DE 29/11/2013, PUBLICADO NO DOU DE 02/12/2013</t>
  </si>
  <si>
    <t>VALOR</t>
  </si>
  <si>
    <t xml:space="preserve">FOLHA DE PAGAMENTO / COMISSIONADOS  REFERENTE AO "ADICIONAL DE PARTICIPAÇÃO EM SERVIÇOS  DE CONVÊNIO" </t>
  </si>
  <si>
    <t>Calculo da dedução aliquota progressiva do INSS</t>
  </si>
  <si>
    <t>De</t>
  </si>
  <si>
    <t>Até</t>
  </si>
  <si>
    <t>Alíquota</t>
  </si>
  <si>
    <t>Dedução</t>
  </si>
  <si>
    <t xml:space="preserve"> =</t>
  </si>
  <si>
    <t xml:space="preserve"> +</t>
  </si>
  <si>
    <t>Acima de</t>
  </si>
  <si>
    <t>=</t>
  </si>
  <si>
    <t>INSS Total</t>
  </si>
  <si>
    <t>INSS SIPES</t>
  </si>
  <si>
    <t>INSS Devido</t>
  </si>
  <si>
    <t>IRRF Total</t>
  </si>
  <si>
    <t>IRRF SIPES</t>
  </si>
  <si>
    <t>IRRF Devido</t>
  </si>
  <si>
    <t>Empregador 20%</t>
  </si>
  <si>
    <t>RAT 1%</t>
  </si>
  <si>
    <t>TOTAL DO IMPOSTO DE RENDA</t>
  </si>
  <si>
    <t>VALOR A PAGAR DE INSS - EMPREGADO</t>
  </si>
  <si>
    <t>VALOR A PAGAR DE INSS - EMPREGADOR</t>
  </si>
  <si>
    <t>VALOR A PAGAR - RAT AJUSTADO</t>
  </si>
  <si>
    <t>VALOR TOTAL A PAGAR DE INSS</t>
  </si>
  <si>
    <t xml:space="preserve"> </t>
  </si>
  <si>
    <t>VALOR TOTAL A RECOLHER</t>
  </si>
  <si>
    <t>* Valor devido previdência ( Relação de consignação para com o INSS)</t>
  </si>
  <si>
    <t>* Valor total a pagar de INSS</t>
  </si>
  <si>
    <t>*Valor total do INSS 20% Empregador (Folha de JETON)</t>
  </si>
  <si>
    <t>EMPREGADOR</t>
  </si>
  <si>
    <t>* Total Geral 20%  rend.bruto ( Relação de consignação para com o INSS)</t>
  </si>
  <si>
    <t>* Valor a pagar de INSS Empregador (planilha)</t>
  </si>
  <si>
    <t>Empregados Avulsos ( GFIP)</t>
  </si>
  <si>
    <t>EMPREGADO</t>
  </si>
  <si>
    <t>* Total Empregado( Relação de consignação para com o INSS)</t>
  </si>
  <si>
    <t>* Valor a pagar de INSS Empregado (planilha)</t>
  </si>
  <si>
    <t>* Empregados/Avulsos ( GFIP)</t>
  </si>
  <si>
    <t>Eliene Andrade da Silva</t>
  </si>
  <si>
    <t>782.322.105-59</t>
  </si>
  <si>
    <t>047/54</t>
  </si>
  <si>
    <t>Kleverton Carlos Mendonca Nascimento</t>
  </si>
  <si>
    <t>Diretor I</t>
  </si>
  <si>
    <t>009.221.245-07</t>
  </si>
  <si>
    <t>Marcia Gabriela da Cruz Santos</t>
  </si>
  <si>
    <t>058.671.645-94</t>
  </si>
  <si>
    <t>047/013</t>
  </si>
  <si>
    <t>6616-4</t>
  </si>
  <si>
    <t>Itamar Sandes Santos</t>
  </si>
  <si>
    <t>930.885.405-30</t>
  </si>
  <si>
    <t>047/061</t>
  </si>
  <si>
    <t>André Rodrigues Freire Menezes Lucas</t>
  </si>
  <si>
    <t>047/035</t>
  </si>
  <si>
    <t>01/043186-4</t>
  </si>
  <si>
    <t>Luiz Mario da Silva Junior</t>
  </si>
  <si>
    <t>494.520.107-20</t>
  </si>
  <si>
    <t>014620-7</t>
  </si>
  <si>
    <t>Vinicius Deda Menezes</t>
  </si>
  <si>
    <t>020.939.505-29</t>
  </si>
  <si>
    <t>3.256.533-0</t>
  </si>
  <si>
    <t>02/202.844-5</t>
  </si>
  <si>
    <t>l</t>
  </si>
  <si>
    <t>Maria Angélica Felizola Leão</t>
  </si>
  <si>
    <t>368.837.605-63</t>
  </si>
  <si>
    <t>010023067-7</t>
  </si>
  <si>
    <t>Leonardo Santos Lima</t>
  </si>
  <si>
    <t>341/1170</t>
  </si>
  <si>
    <t>95851-4</t>
  </si>
  <si>
    <t>053.017.585-19</t>
  </si>
  <si>
    <t>041.480.405-80</t>
  </si>
  <si>
    <t xml:space="preserve">Jorge Eduardo Alves Fontes </t>
  </si>
  <si>
    <t xml:space="preserve">Andrea Santana Campos </t>
  </si>
  <si>
    <t>Contador</t>
  </si>
  <si>
    <t>067.788.415-08</t>
  </si>
  <si>
    <t>047/09</t>
  </si>
  <si>
    <t>02/204.960-0</t>
  </si>
  <si>
    <t xml:space="preserve">Antonio Carlos Porto de Andrade </t>
  </si>
  <si>
    <t>170.146.705-49</t>
  </si>
  <si>
    <t>000795-8</t>
  </si>
  <si>
    <t>TABELA DO IR 2025</t>
  </si>
  <si>
    <t>TABELA INSS - 2025</t>
  </si>
  <si>
    <t>Gleize Kelly Sobral Sousa</t>
  </si>
  <si>
    <t>03.261.790-9</t>
  </si>
  <si>
    <t>031.998.685-33</t>
  </si>
  <si>
    <t>047/055</t>
  </si>
  <si>
    <t>12291-2</t>
  </si>
  <si>
    <t>Elba Cristiane de Souza Brandão</t>
  </si>
  <si>
    <t>INSS SIPES + CONVÊNIO</t>
  </si>
  <si>
    <t>Assoria de Comunicação</t>
  </si>
  <si>
    <t xml:space="preserve">Diretor de Coordenadoria </t>
  </si>
  <si>
    <t>Alan Gabriel Santos Ribeiro</t>
  </si>
  <si>
    <t>02/204.535-8</t>
  </si>
  <si>
    <t>082.057.055-93</t>
  </si>
  <si>
    <t>JULHO/2025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</si>
</sst>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_-;\-* #,##0.00_-;_-* &quot;-&quot;??_-;_-@_-"/>
    <numFmt numFmtId="164" formatCode="&quot;R$ &quot;#,##0.00_);&quot;(R$ &quot;#,##0.00\)"/>
    <numFmt numFmtId="165" formatCode="[$R$-416]\ #,##0.00;[Red]\-[$R$-416]\ #,##0.00"/>
    <numFmt numFmtId="166" formatCode="_-&quot;R$ &quot;* #,##0.00_-;&quot;-R$ &quot;* #,##0.00_-;_-&quot;R$ &quot;* \-??_-;_-@_-"/>
    <numFmt numFmtId="167" formatCode="mmmm/yyyy"/>
    <numFmt numFmtId="168" formatCode="mm/yy"/>
    <numFmt numFmtId="169" formatCode="#,##0.00;[Red]#,##0.00"/>
    <numFmt numFmtId="170" formatCode="#,##0.0"/>
    <numFmt numFmtId="171" formatCode="_-* #,##0.00_-;\-* #,##0.00_-;_-* \-??_-;_-@_-"/>
    <numFmt numFmtId="172" formatCode="_-* #,##0_-;\-* #,##0_-;_-* \-??_-;_-@_-"/>
    <numFmt numFmtId="173" formatCode="0.00;[Red]0.00"/>
    <numFmt numFmtId="174" formatCode="m/d/yyyy"/>
    <numFmt numFmtId="175" formatCode="d\-mmm"/>
    <numFmt numFmtId="176" formatCode="0.000"/>
  </numFmts>
  <fonts count="70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</font>
    <font>
      <sz val="11"/>
      <color rgb="FF00800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1"/>
      <color rgb="FFFF0000"/>
      <name val="Calibri"/>
      <family val="2"/>
    </font>
    <font>
      <i/>
      <sz val="11"/>
      <color rgb="FF808080"/>
      <name val="Calibri"/>
      <family val="2"/>
    </font>
    <font>
      <b/>
      <sz val="11"/>
      <color rgb="FF000000"/>
      <name val="Calibri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b/>
      <sz val="18"/>
      <color rgb="FF003366"/>
      <name val="Cambria"/>
      <family val="1"/>
    </font>
    <font>
      <b/>
      <u/>
      <sz val="10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Tahoma"/>
      <family val="2"/>
    </font>
    <font>
      <sz val="9"/>
      <color rgb="FF000000"/>
      <name val="Tahoma"/>
      <family val="2"/>
    </font>
    <font>
      <sz val="11"/>
      <color rgb="FF000000"/>
      <name val="Tahoma"/>
      <family val="2"/>
    </font>
    <font>
      <b/>
      <sz val="12"/>
      <color rgb="FF000000"/>
      <name val="Tahoma"/>
      <family val="2"/>
    </font>
    <font>
      <b/>
      <i/>
      <sz val="10"/>
      <color rgb="FF000000"/>
      <name val="Tahoma"/>
      <family val="2"/>
    </font>
    <font>
      <i/>
      <sz val="8"/>
      <color rgb="FF000000"/>
      <name val="Tahoma"/>
      <family val="2"/>
    </font>
    <font>
      <b/>
      <sz val="9"/>
      <color rgb="FF000000"/>
      <name val="Tahoma"/>
      <family val="2"/>
    </font>
    <font>
      <b/>
      <sz val="10"/>
      <color rgb="FF000000"/>
      <name val="Tahoma"/>
      <family val="2"/>
    </font>
    <font>
      <b/>
      <u/>
      <sz val="11"/>
      <color rgb="FF000000"/>
      <name val="Tahoma"/>
      <family val="2"/>
    </font>
    <font>
      <b/>
      <u/>
      <sz val="10"/>
      <color rgb="FF000000"/>
      <name val="Tahoma"/>
      <family val="2"/>
    </font>
    <font>
      <b/>
      <sz val="11"/>
      <color rgb="FF000000"/>
      <name val="Tahoma"/>
      <family val="2"/>
    </font>
    <font>
      <i/>
      <sz val="9"/>
      <color rgb="FF000000"/>
      <name val="Tahoma"/>
      <family val="2"/>
    </font>
    <font>
      <i/>
      <sz val="10"/>
      <color rgb="FF000000"/>
      <name val="Tahoma"/>
      <family val="2"/>
    </font>
    <font>
      <i/>
      <sz val="11"/>
      <color rgb="FF000000"/>
      <name val="Tahoma"/>
      <family val="2"/>
    </font>
    <font>
      <b/>
      <sz val="7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0"/>
      <color rgb="FFFF0000"/>
      <name val="Tahoma"/>
      <family val="2"/>
    </font>
    <font>
      <sz val="12"/>
      <color rgb="FF000000"/>
      <name val="Tahoma"/>
      <family val="2"/>
    </font>
    <font>
      <u/>
      <sz val="11"/>
      <color rgb="FF000000"/>
      <name val="Tahoma"/>
      <family val="2"/>
    </font>
    <font>
      <u/>
      <sz val="10"/>
      <color rgb="FF000000"/>
      <name val="Tahoma"/>
      <family val="2"/>
    </font>
    <font>
      <u/>
      <sz val="12"/>
      <color rgb="FF000000"/>
      <name val="Tahoma"/>
      <family val="2"/>
    </font>
    <font>
      <b/>
      <sz val="11"/>
      <color rgb="FFFF0000"/>
      <name val="Tahoma"/>
      <family val="2"/>
    </font>
    <font>
      <sz val="11"/>
      <color rgb="FFFF0000"/>
      <name val="Tahoma"/>
      <family val="2"/>
    </font>
    <font>
      <b/>
      <u/>
      <sz val="10"/>
      <color rgb="FFFFFFFF"/>
      <name val="Tahoma"/>
      <family val="2"/>
    </font>
    <font>
      <b/>
      <sz val="10"/>
      <color rgb="FFFFFFFF"/>
      <name val="Tahoma"/>
      <family val="2"/>
    </font>
    <font>
      <b/>
      <i/>
      <sz val="9"/>
      <color rgb="FF000000"/>
      <name val="Tahoma"/>
      <family val="2"/>
    </font>
    <font>
      <sz val="18"/>
      <color rgb="FF000000"/>
      <name val="Calibri"/>
      <family val="2"/>
    </font>
    <font>
      <u/>
      <sz val="18"/>
      <color rgb="FF000000"/>
      <name val="Calibri"/>
      <family val="2"/>
    </font>
    <font>
      <sz val="11"/>
      <color rgb="FFFFFFFF"/>
      <name val="Tahoma"/>
      <family val="2"/>
    </font>
    <font>
      <b/>
      <sz val="10"/>
      <color rgb="FFFF0000"/>
      <name val="Tahoma"/>
      <family val="2"/>
    </font>
    <font>
      <b/>
      <sz val="9"/>
      <color rgb="FFFF0000"/>
      <name val="Tahoma"/>
      <family val="2"/>
    </font>
    <font>
      <b/>
      <sz val="11"/>
      <color rgb="FFFF0000"/>
      <name val="Calibri"/>
      <family val="2"/>
    </font>
    <font>
      <b/>
      <i/>
      <sz val="10"/>
      <color rgb="FFFF0000"/>
      <name val="Tahoma"/>
      <family val="2"/>
    </font>
    <font>
      <sz val="18"/>
      <color rgb="FFFF0000"/>
      <name val="Calibri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sz val="8"/>
      <color rgb="FFFF0000"/>
      <name val="Arial"/>
      <family val="2"/>
    </font>
    <font>
      <sz val="11"/>
      <color rgb="FF000000"/>
      <name val="Arial"/>
      <family val="2"/>
    </font>
    <font>
      <sz val="10"/>
      <color rgb="FFFFFFFF"/>
      <name val="Tahoma"/>
      <family val="2"/>
    </font>
    <font>
      <i/>
      <sz val="8"/>
      <color rgb="FFFFFFFF"/>
      <name val="Tahoma"/>
      <family val="2"/>
    </font>
    <font>
      <sz val="8"/>
      <color rgb="FFFF0000"/>
      <name val="Tahoma"/>
      <family val="2"/>
    </font>
    <font>
      <sz val="11"/>
      <color rgb="FF000000"/>
      <name val="Calibri"/>
      <family val="2"/>
    </font>
    <font>
      <vertAlign val="superscript"/>
      <sz val="9"/>
      <name val="Tahoma"/>
      <family val="2"/>
    </font>
    <font>
      <b/>
      <sz val="7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1"/>
      <color theme="1"/>
      <name val="Calibri"/>
      <family val="2"/>
    </font>
  </fonts>
  <fills count="135">
    <fill>
      <patternFill patternType="none"/>
    </fill>
    <fill>
      <patternFill patternType="gray125"/>
    </fill>
    <fill>
      <patternFill patternType="solid">
        <fgColor rgb="FFCCCC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00FF00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0066CC"/>
        <bgColor rgb="FFFFFFFF"/>
      </patternFill>
    </fill>
    <fill>
      <patternFill patternType="solid">
        <fgColor rgb="FF800080"/>
        <bgColor rgb="FFFFFFFF"/>
      </patternFill>
    </fill>
    <fill>
      <patternFill patternType="solid">
        <fgColor rgb="FF33CCCC"/>
        <bgColor rgb="FFFFFFFF"/>
      </patternFill>
    </fill>
    <fill>
      <patternFill patternType="solid">
        <fgColor rgb="FFFF990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969696"/>
        <bgColor rgb="FFFFFFFF"/>
      </patternFill>
    </fill>
    <fill>
      <patternFill patternType="none"/>
    </fill>
    <fill>
      <patternFill patternType="solid">
        <fgColor rgb="FF333399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FF6600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FFFFF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969696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16365C"/>
        <bgColor rgb="FFFFFFFF"/>
      </patternFill>
    </fill>
    <fill>
      <patternFill patternType="solid">
        <fgColor rgb="FF16365C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16365C"/>
        <bgColor rgb="FFFFFFFF"/>
      </patternFill>
    </fill>
    <fill>
      <patternFill patternType="solid">
        <fgColor rgb="FF16365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16365C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7F7F7F"/>
        <bgColor rgb="FFFFFFFF"/>
      </patternFill>
    </fill>
    <fill>
      <patternFill patternType="solid">
        <fgColor rgb="FF7F7F7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FFFFFF"/>
      </patternFill>
    </fill>
    <fill>
      <patternFill patternType="solid">
        <fgColor rgb="FFBFBFBF"/>
        <bgColor rgb="FFFFFFFF"/>
      </patternFill>
    </fill>
    <fill>
      <patternFill patternType="solid">
        <fgColor rgb="FFBFBFBF"/>
        <bgColor rgb="FFFFFFFF"/>
      </patternFill>
    </fill>
    <fill>
      <patternFill patternType="solid">
        <fgColor rgb="FF969696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16365C"/>
        <bgColor rgb="FFFFFFFF"/>
      </patternFill>
    </fill>
    <fill>
      <patternFill patternType="solid">
        <fgColor rgb="FF16365C"/>
        <bgColor rgb="FFFFFFFF"/>
      </patternFill>
    </fill>
    <fill>
      <patternFill patternType="solid">
        <fgColor rgb="FF16365C"/>
        <bgColor rgb="FFFFFFFF"/>
      </patternFill>
    </fill>
    <fill>
      <patternFill patternType="solid">
        <fgColor rgb="FF16365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3" tint="-9.9978637043366805E-2"/>
        <bgColor rgb="FFFFFFFF"/>
      </patternFill>
    </fill>
    <fill>
      <patternFill patternType="solid">
        <fgColor theme="9" tint="0.39997558519241921"/>
        <bgColor rgb="FFFFFFFF"/>
      </patternFill>
    </fill>
    <fill>
      <patternFill patternType="solid">
        <fgColor rgb="FFFFFF00"/>
        <bgColor indexed="64"/>
      </patternFill>
    </fill>
  </fills>
  <borders count="17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/>
      <bottom/>
      <diagonal/>
    </border>
  </borders>
  <cellStyleXfs count="45">
    <xf numFmtId="0" fontId="0" fillId="0" borderId="0"/>
    <xf numFmtId="0" fontId="63" fillId="2" borderId="1" applyNumberFormat="0" applyBorder="0" applyAlignment="0" applyProtection="0"/>
    <xf numFmtId="0" fontId="63" fillId="3" borderId="2" applyNumberFormat="0" applyBorder="0" applyAlignment="0" applyProtection="0"/>
    <xf numFmtId="0" fontId="63" fillId="4" borderId="3" applyNumberFormat="0" applyBorder="0" applyAlignment="0" applyProtection="0"/>
    <xf numFmtId="0" fontId="63" fillId="5" borderId="4" applyNumberFormat="0" applyBorder="0" applyAlignment="0" applyProtection="0"/>
    <xf numFmtId="0" fontId="63" fillId="6" borderId="5" applyNumberFormat="0" applyBorder="0" applyAlignment="0" applyProtection="0"/>
    <xf numFmtId="0" fontId="63" fillId="7" borderId="6" applyNumberFormat="0" applyBorder="0" applyAlignment="0" applyProtection="0"/>
    <xf numFmtId="0" fontId="63" fillId="8" borderId="7" applyNumberFormat="0" applyBorder="0" applyAlignment="0" applyProtection="0"/>
    <xf numFmtId="0" fontId="63" fillId="9" borderId="8" applyNumberFormat="0" applyBorder="0" applyAlignment="0" applyProtection="0"/>
    <xf numFmtId="0" fontId="63" fillId="10" borderId="9" applyNumberFormat="0" applyBorder="0" applyAlignment="0" applyProtection="0"/>
    <xf numFmtId="0" fontId="63" fillId="5" borderId="4" applyNumberFormat="0" applyBorder="0" applyAlignment="0" applyProtection="0"/>
    <xf numFmtId="0" fontId="63" fillId="8" borderId="7" applyNumberFormat="0" applyBorder="0" applyAlignment="0" applyProtection="0"/>
    <xf numFmtId="0" fontId="63" fillId="11" borderId="10" applyNumberFormat="0" applyBorder="0" applyAlignment="0" applyProtection="0"/>
    <xf numFmtId="0" fontId="2" fillId="12" borderId="11" applyNumberFormat="0" applyBorder="0" applyAlignment="0" applyProtection="0"/>
    <xf numFmtId="0" fontId="2" fillId="9" borderId="8" applyNumberFormat="0" applyBorder="0" applyAlignment="0" applyProtection="0"/>
    <xf numFmtId="0" fontId="2" fillId="10" borderId="9" applyNumberFormat="0" applyBorder="0" applyAlignment="0" applyProtection="0"/>
    <xf numFmtId="0" fontId="2" fillId="13" borderId="12" applyNumberFormat="0" applyBorder="0" applyAlignment="0" applyProtection="0"/>
    <xf numFmtId="0" fontId="2" fillId="14" borderId="13" applyNumberFormat="0" applyBorder="0" applyAlignment="0" applyProtection="0"/>
    <xf numFmtId="0" fontId="2" fillId="15" borderId="14" applyNumberFormat="0" applyBorder="0" applyAlignment="0" applyProtection="0"/>
    <xf numFmtId="0" fontId="3" fillId="4" borderId="3" applyNumberFormat="0" applyBorder="0" applyAlignment="0" applyProtection="0"/>
    <xf numFmtId="0" fontId="4" fillId="16" borderId="15" applyNumberFormat="0" applyAlignment="0" applyProtection="0"/>
    <xf numFmtId="0" fontId="5" fillId="17" borderId="16" applyNumberFormat="0" applyAlignment="0" applyProtection="0"/>
    <xf numFmtId="0" fontId="6" fillId="18" borderId="17" applyNumberFormat="0" applyFill="0" applyAlignment="0" applyProtection="0"/>
    <xf numFmtId="0" fontId="2" fillId="19" borderId="18" applyNumberFormat="0" applyBorder="0" applyAlignment="0" applyProtection="0"/>
    <xf numFmtId="0" fontId="2" fillId="20" borderId="19" applyNumberFormat="0" applyBorder="0" applyAlignment="0" applyProtection="0"/>
    <xf numFmtId="0" fontId="2" fillId="21" borderId="20" applyNumberFormat="0" applyBorder="0" applyAlignment="0" applyProtection="0"/>
    <xf numFmtId="0" fontId="2" fillId="13" borderId="12" applyNumberFormat="0" applyBorder="0" applyAlignment="0" applyProtection="0"/>
    <xf numFmtId="0" fontId="2" fillId="14" borderId="13" applyNumberFormat="0" applyBorder="0" applyAlignment="0" applyProtection="0"/>
    <xf numFmtId="0" fontId="2" fillId="22" borderId="21" applyNumberFormat="0" applyBorder="0" applyAlignment="0" applyProtection="0"/>
    <xf numFmtId="0" fontId="7" fillId="23" borderId="22" applyNumberFormat="0" applyAlignment="0" applyProtection="0"/>
    <xf numFmtId="0" fontId="8" fillId="3" borderId="2" applyNumberFormat="0" applyBorder="0" applyAlignment="0" applyProtection="0"/>
    <xf numFmtId="166" fontId="63" fillId="0" borderId="0" applyFill="0" applyBorder="0" applyAlignment="0" applyProtection="0"/>
    <xf numFmtId="0" fontId="9" fillId="24" borderId="23" applyNumberFormat="0" applyBorder="0" applyAlignment="0" applyProtection="0"/>
    <xf numFmtId="0" fontId="63" fillId="25" borderId="24" applyNumberFormat="0" applyAlignment="0" applyProtection="0"/>
    <xf numFmtId="9" fontId="63" fillId="0" borderId="0" applyFill="0" applyBorder="0" applyAlignment="0" applyProtection="0"/>
    <xf numFmtId="0" fontId="10" fillId="26" borderId="25" applyNumberFormat="0" applyAlignment="0" applyProtection="0"/>
    <xf numFmtId="171" fontId="63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27" borderId="26" applyNumberFormat="0" applyFill="0" applyAlignment="0" applyProtection="0"/>
    <xf numFmtId="0" fontId="15" fillId="28" borderId="27" applyNumberFormat="0" applyFill="0" applyAlignment="0" applyProtection="0"/>
    <xf numFmtId="0" fontId="16" fillId="29" borderId="2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3" fillId="30" borderId="29" applyNumberFormat="0" applyFill="0" applyAlignment="0" applyProtection="0"/>
  </cellStyleXfs>
  <cellXfs count="659">
    <xf numFmtId="0" fontId="0" fillId="0" borderId="0" xfId="0"/>
    <xf numFmtId="0" fontId="0" fillId="0" borderId="30" xfId="0" applyBorder="1"/>
    <xf numFmtId="0" fontId="13" fillId="0" borderId="30" xfId="0" applyFont="1" applyBorder="1" applyAlignment="1">
      <alignment horizontal="center"/>
    </xf>
    <xf numFmtId="0" fontId="0" fillId="31" borderId="31" xfId="0" applyFill="1" applyBorder="1"/>
    <xf numFmtId="171" fontId="63" fillId="0" borderId="30" xfId="36" applyBorder="1" applyProtection="1">
      <protection hidden="1"/>
    </xf>
    <xf numFmtId="10" fontId="63" fillId="0" borderId="30" xfId="34" applyNumberFormat="1" applyBorder="1" applyProtection="1">
      <protection hidden="1"/>
    </xf>
    <xf numFmtId="0" fontId="1" fillId="0" borderId="0" xfId="0" applyFont="1"/>
    <xf numFmtId="0" fontId="20" fillId="0" borderId="0" xfId="0" applyFont="1"/>
    <xf numFmtId="0" fontId="18" fillId="32" borderId="32" xfId="0" applyFont="1" applyFill="1" applyBorder="1" applyAlignment="1">
      <alignment horizontal="left"/>
    </xf>
    <xf numFmtId="4" fontId="19" fillId="33" borderId="33" xfId="0" applyNumberFormat="1" applyFont="1" applyFill="1" applyBorder="1" applyAlignment="1">
      <alignment horizontal="left"/>
    </xf>
    <xf numFmtId="4" fontId="20" fillId="0" borderId="34" xfId="0" applyNumberFormat="1" applyFont="1" applyBorder="1"/>
    <xf numFmtId="4" fontId="20" fillId="33" borderId="33" xfId="0" applyNumberFormat="1" applyFont="1" applyFill="1" applyBorder="1"/>
    <xf numFmtId="173" fontId="1" fillId="0" borderId="0" xfId="0" applyNumberFormat="1" applyFont="1"/>
    <xf numFmtId="4" fontId="18" fillId="0" borderId="0" xfId="0" applyNumberFormat="1" applyFont="1"/>
    <xf numFmtId="4" fontId="1" fillId="0" borderId="0" xfId="0" applyNumberFormat="1" applyFont="1"/>
    <xf numFmtId="4" fontId="19" fillId="33" borderId="33" xfId="0" applyNumberFormat="1" applyFont="1" applyFill="1" applyBorder="1"/>
    <xf numFmtId="171" fontId="0" fillId="0" borderId="0" xfId="0" applyNumberFormat="1"/>
    <xf numFmtId="0" fontId="21" fillId="0" borderId="35" xfId="0" applyFont="1" applyBorder="1" applyProtection="1">
      <protection hidden="1"/>
    </xf>
    <xf numFmtId="0" fontId="21" fillId="0" borderId="36" xfId="0" applyFont="1" applyBorder="1" applyProtection="1">
      <protection hidden="1"/>
    </xf>
    <xf numFmtId="0" fontId="23" fillId="0" borderId="0" xfId="0" applyFont="1" applyProtection="1">
      <protection hidden="1"/>
    </xf>
    <xf numFmtId="0" fontId="21" fillId="0" borderId="37" xfId="0" applyFont="1" applyBorder="1" applyProtection="1">
      <protection hidden="1"/>
    </xf>
    <xf numFmtId="0" fontId="21" fillId="0" borderId="38" xfId="0" applyFont="1" applyBorder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/>
      <protection hidden="1"/>
    </xf>
    <xf numFmtId="0" fontId="21" fillId="0" borderId="39" xfId="0" applyFont="1" applyBorder="1" applyProtection="1">
      <protection hidden="1"/>
    </xf>
    <xf numFmtId="0" fontId="21" fillId="0" borderId="40" xfId="0" applyFont="1" applyBorder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22" fillId="0" borderId="0" xfId="0" applyFont="1" applyProtection="1">
      <protection hidden="1"/>
    </xf>
    <xf numFmtId="0" fontId="34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 vertical="center" wrapText="1"/>
      <protection hidden="1"/>
    </xf>
    <xf numFmtId="0" fontId="31" fillId="34" borderId="41" xfId="0" applyFont="1" applyFill="1" applyBorder="1" applyAlignment="1" applyProtection="1">
      <alignment horizontal="center" vertical="center" wrapText="1"/>
      <protection hidden="1"/>
    </xf>
    <xf numFmtId="164" fontId="31" fillId="34" borderId="41" xfId="0" applyNumberFormat="1" applyFont="1" applyFill="1" applyBorder="1" applyAlignment="1" applyProtection="1">
      <alignment horizontal="center" vertical="center" wrapText="1"/>
      <protection hidden="1"/>
    </xf>
    <xf numFmtId="165" fontId="23" fillId="35" borderId="42" xfId="31" applyNumberFormat="1" applyFont="1" applyFill="1" applyBorder="1" applyProtection="1">
      <protection hidden="1"/>
    </xf>
    <xf numFmtId="165" fontId="23" fillId="35" borderId="42" xfId="0" applyNumberFormat="1" applyFont="1" applyFill="1" applyBorder="1" applyAlignment="1" applyProtection="1">
      <alignment horizontal="right"/>
      <protection hidden="1"/>
    </xf>
    <xf numFmtId="0" fontId="23" fillId="0" borderId="34" xfId="0" applyFont="1" applyBorder="1" applyAlignment="1" applyProtection="1">
      <alignment horizontal="left"/>
      <protection hidden="1"/>
    </xf>
    <xf numFmtId="0" fontId="23" fillId="34" borderId="41" xfId="0" applyFont="1" applyFill="1" applyBorder="1" applyAlignment="1" applyProtection="1">
      <alignment horizontal="center"/>
      <protection hidden="1"/>
    </xf>
    <xf numFmtId="165" fontId="23" fillId="0" borderId="34" xfId="0" applyNumberFormat="1" applyFont="1" applyBorder="1" applyProtection="1">
      <protection hidden="1"/>
    </xf>
    <xf numFmtId="165" fontId="23" fillId="36" borderId="43" xfId="31" applyNumberFormat="1" applyFont="1" applyFill="1" applyBorder="1" applyProtection="1">
      <protection hidden="1"/>
    </xf>
    <xf numFmtId="165" fontId="23" fillId="36" borderId="43" xfId="0" applyNumberFormat="1" applyFont="1" applyFill="1" applyBorder="1" applyAlignment="1" applyProtection="1">
      <alignment horizontal="right"/>
      <protection hidden="1"/>
    </xf>
    <xf numFmtId="165" fontId="23" fillId="0" borderId="34" xfId="0" applyNumberFormat="1" applyFont="1" applyBorder="1" applyAlignment="1" applyProtection="1">
      <alignment horizontal="right"/>
      <protection hidden="1"/>
    </xf>
    <xf numFmtId="0" fontId="23" fillId="0" borderId="0" xfId="0" applyFont="1" applyAlignment="1" applyProtection="1">
      <alignment horizontal="left"/>
      <protection hidden="1"/>
    </xf>
    <xf numFmtId="0" fontId="23" fillId="0" borderId="0" xfId="0" applyFont="1" applyAlignment="1" applyProtection="1">
      <alignment horizontal="right"/>
      <protection hidden="1"/>
    </xf>
    <xf numFmtId="165" fontId="23" fillId="0" borderId="0" xfId="0" applyNumberFormat="1" applyFont="1" applyProtection="1">
      <protection hidden="1"/>
    </xf>
    <xf numFmtId="165" fontId="23" fillId="36" borderId="43" xfId="0" applyNumberFormat="1" applyFont="1" applyFill="1" applyBorder="1" applyProtection="1">
      <protection hidden="1"/>
    </xf>
    <xf numFmtId="0" fontId="22" fillId="0" borderId="0" xfId="0" applyFont="1" applyAlignment="1" applyProtection="1">
      <alignment horizontal="center"/>
      <protection hidden="1"/>
    </xf>
    <xf numFmtId="0" fontId="21" fillId="0" borderId="0" xfId="0" applyFont="1"/>
    <xf numFmtId="0" fontId="38" fillId="0" borderId="0" xfId="0" applyFont="1" applyProtection="1">
      <protection hidden="1"/>
    </xf>
    <xf numFmtId="166" fontId="63" fillId="0" borderId="0" xfId="31" applyProtection="1">
      <protection hidden="1"/>
    </xf>
    <xf numFmtId="165" fontId="23" fillId="0" borderId="44" xfId="0" applyNumberFormat="1" applyFont="1" applyBorder="1" applyProtection="1">
      <protection hidden="1"/>
    </xf>
    <xf numFmtId="165" fontId="23" fillId="0" borderId="45" xfId="0" applyNumberFormat="1" applyFont="1" applyBorder="1" applyProtection="1">
      <protection hidden="1"/>
    </xf>
    <xf numFmtId="165" fontId="23" fillId="0" borderId="46" xfId="0" applyNumberFormat="1" applyFont="1" applyBorder="1" applyAlignment="1" applyProtection="1">
      <alignment horizontal="right"/>
      <protection hidden="1"/>
    </xf>
    <xf numFmtId="0" fontId="23" fillId="0" borderId="34" xfId="0" applyFont="1" applyBorder="1" applyAlignment="1" applyProtection="1">
      <alignment horizontal="right"/>
      <protection hidden="1"/>
    </xf>
    <xf numFmtId="0" fontId="44" fillId="0" borderId="0" xfId="0" applyFont="1" applyProtection="1">
      <protection hidden="1"/>
    </xf>
    <xf numFmtId="165" fontId="44" fillId="0" borderId="47" xfId="0" applyNumberFormat="1" applyFont="1" applyBorder="1" applyAlignment="1" applyProtection="1">
      <alignment horizontal="right"/>
      <protection hidden="1"/>
    </xf>
    <xf numFmtId="0" fontId="44" fillId="0" borderId="34" xfId="0" applyFont="1" applyBorder="1" applyAlignment="1" applyProtection="1">
      <alignment horizontal="left"/>
      <protection hidden="1"/>
    </xf>
    <xf numFmtId="0" fontId="44" fillId="0" borderId="48" xfId="0" applyFont="1" applyBorder="1" applyProtection="1">
      <protection hidden="1"/>
    </xf>
    <xf numFmtId="0" fontId="46" fillId="37" borderId="49" xfId="0" applyFont="1" applyFill="1" applyBorder="1" applyAlignment="1" applyProtection="1">
      <alignment horizontal="center" vertical="center" wrapText="1"/>
      <protection hidden="1"/>
    </xf>
    <xf numFmtId="2" fontId="46" fillId="38" borderId="50" xfId="0" applyNumberFormat="1" applyFont="1" applyFill="1" applyBorder="1" applyAlignment="1" applyProtection="1">
      <alignment horizontal="center" vertical="center" wrapText="1"/>
      <protection hidden="1"/>
    </xf>
    <xf numFmtId="2" fontId="46" fillId="37" borderId="49" xfId="0" applyNumberFormat="1" applyFont="1" applyFill="1" applyBorder="1" applyAlignment="1" applyProtection="1">
      <alignment horizontal="center" vertical="center" wrapText="1"/>
      <protection hidden="1"/>
    </xf>
    <xf numFmtId="165" fontId="23" fillId="0" borderId="47" xfId="0" applyNumberFormat="1" applyFont="1" applyBorder="1" applyAlignment="1" applyProtection="1">
      <alignment horizontal="right"/>
      <protection hidden="1"/>
    </xf>
    <xf numFmtId="165" fontId="23" fillId="0" borderId="47" xfId="0" applyNumberFormat="1" applyFont="1" applyBorder="1" applyProtection="1">
      <protection hidden="1"/>
    </xf>
    <xf numFmtId="0" fontId="23" fillId="39" borderId="51" xfId="0" applyFont="1" applyFill="1" applyBorder="1" applyAlignment="1" applyProtection="1">
      <alignment horizontal="center"/>
      <protection hidden="1"/>
    </xf>
    <xf numFmtId="165" fontId="40" fillId="36" borderId="43" xfId="0" applyNumberFormat="1" applyFont="1" applyFill="1" applyBorder="1" applyAlignment="1" applyProtection="1">
      <alignment horizontal="right"/>
      <protection hidden="1"/>
    </xf>
    <xf numFmtId="171" fontId="48" fillId="0" borderId="0" xfId="36" applyFont="1" applyProtection="1">
      <protection hidden="1"/>
    </xf>
    <xf numFmtId="171" fontId="48" fillId="0" borderId="0" xfId="36" applyFont="1" applyAlignment="1" applyProtection="1">
      <alignment horizontal="center" vertical="center" wrapText="1"/>
      <protection hidden="1"/>
    </xf>
    <xf numFmtId="0" fontId="23" fillId="0" borderId="0" xfId="0" applyFont="1" applyAlignment="1" applyProtection="1">
      <alignment horizontal="right" vertical="center" wrapText="1"/>
      <protection hidden="1"/>
    </xf>
    <xf numFmtId="171" fontId="49" fillId="0" borderId="34" xfId="36" applyFont="1" applyBorder="1" applyAlignment="1" applyProtection="1">
      <alignment horizontal="center"/>
      <protection hidden="1"/>
    </xf>
    <xf numFmtId="0" fontId="21" fillId="40" borderId="52" xfId="0" applyFont="1" applyFill="1" applyBorder="1" applyAlignment="1" applyProtection="1">
      <alignment horizontal="center" vertical="center" wrapText="1"/>
      <protection hidden="1"/>
    </xf>
    <xf numFmtId="167" fontId="29" fillId="0" borderId="0" xfId="0" applyNumberFormat="1" applyFont="1" applyAlignment="1" applyProtection="1">
      <alignment horizontal="left" vertical="center" wrapText="1"/>
      <protection hidden="1"/>
    </xf>
    <xf numFmtId="0" fontId="23" fillId="0" borderId="0" xfId="0" applyFont="1"/>
    <xf numFmtId="167" fontId="29" fillId="0" borderId="53" xfId="0" applyNumberFormat="1" applyFont="1" applyBorder="1" applyAlignment="1" applyProtection="1">
      <alignment horizontal="left" vertical="center" wrapText="1"/>
      <protection hidden="1"/>
    </xf>
    <xf numFmtId="0" fontId="31" fillId="41" borderId="54" xfId="0" applyFont="1" applyFill="1" applyBorder="1" applyAlignment="1" applyProtection="1">
      <alignment horizontal="center" vertical="center" wrapText="1"/>
      <protection hidden="1"/>
    </xf>
    <xf numFmtId="0" fontId="31" fillId="41" borderId="54" xfId="0" applyFont="1" applyFill="1" applyBorder="1" applyAlignment="1" applyProtection="1">
      <alignment horizontal="center" vertical="center" textRotation="90" wrapText="1"/>
      <protection hidden="1"/>
    </xf>
    <xf numFmtId="0" fontId="31" fillId="0" borderId="0" xfId="0" applyFont="1" applyAlignment="1">
      <alignment horizontal="center"/>
    </xf>
    <xf numFmtId="0" fontId="23" fillId="0" borderId="34" xfId="0" applyFont="1" applyBorder="1" applyAlignment="1" applyProtection="1">
      <alignment horizontal="center"/>
      <protection hidden="1"/>
    </xf>
    <xf numFmtId="0" fontId="23" fillId="0" borderId="34" xfId="0" applyFont="1" applyBorder="1" applyAlignment="1" applyProtection="1">
      <alignment wrapText="1"/>
      <protection hidden="1"/>
    </xf>
    <xf numFmtId="169" fontId="23" fillId="0" borderId="34" xfId="0" applyNumberFormat="1" applyFont="1" applyBorder="1" applyProtection="1">
      <protection hidden="1"/>
    </xf>
    <xf numFmtId="0" fontId="31" fillId="0" borderId="34" xfId="0" applyFont="1" applyBorder="1" applyAlignment="1" applyProtection="1">
      <alignment horizontal="center" vertical="center" wrapText="1"/>
      <protection hidden="1"/>
    </xf>
    <xf numFmtId="169" fontId="23" fillId="0" borderId="0" xfId="0" applyNumberFormat="1" applyFont="1"/>
    <xf numFmtId="166" fontId="63" fillId="0" borderId="0" xfId="31"/>
    <xf numFmtId="169" fontId="29" fillId="0" borderId="34" xfId="0" applyNumberFormat="1" applyFont="1" applyBorder="1" applyAlignment="1" applyProtection="1">
      <alignment horizontal="center"/>
      <protection locked="0"/>
    </xf>
    <xf numFmtId="0" fontId="23" fillId="0" borderId="0" xfId="0" applyFont="1" applyAlignment="1">
      <alignment horizontal="center"/>
    </xf>
    <xf numFmtId="166" fontId="63" fillId="0" borderId="0" xfId="31" applyAlignment="1">
      <alignment horizontal="center"/>
    </xf>
    <xf numFmtId="0" fontId="23" fillId="42" borderId="55" xfId="0" applyFont="1" applyFill="1" applyBorder="1" applyProtection="1">
      <protection hidden="1"/>
    </xf>
    <xf numFmtId="43" fontId="0" fillId="0" borderId="0" xfId="0" applyNumberFormat="1"/>
    <xf numFmtId="0" fontId="28" fillId="0" borderId="0" xfId="0" applyFont="1" applyProtection="1">
      <protection hidden="1"/>
    </xf>
    <xf numFmtId="0" fontId="2" fillId="0" borderId="0" xfId="0" applyFont="1"/>
    <xf numFmtId="0" fontId="50" fillId="0" borderId="0" xfId="0" applyFont="1"/>
    <xf numFmtId="0" fontId="50" fillId="0" borderId="0" xfId="0" applyFont="1" applyAlignment="1">
      <alignment horizontal="center"/>
    </xf>
    <xf numFmtId="169" fontId="50" fillId="0" borderId="0" xfId="0" applyNumberFormat="1" applyFont="1"/>
    <xf numFmtId="0" fontId="11" fillId="0" borderId="0" xfId="0" applyFont="1"/>
    <xf numFmtId="4" fontId="0" fillId="0" borderId="0" xfId="0" applyNumberFormat="1"/>
    <xf numFmtId="171" fontId="21" fillId="0" borderId="0" xfId="0" applyNumberFormat="1" applyFont="1" applyProtection="1">
      <protection hidden="1"/>
    </xf>
    <xf numFmtId="0" fontId="46" fillId="43" borderId="56" xfId="0" applyFont="1" applyFill="1" applyBorder="1" applyAlignment="1" applyProtection="1">
      <alignment horizontal="center" vertical="center" wrapText="1"/>
      <protection hidden="1"/>
    </xf>
    <xf numFmtId="0" fontId="46" fillId="38" borderId="50" xfId="0" applyFont="1" applyFill="1" applyBorder="1" applyAlignment="1" applyProtection="1">
      <alignment horizontal="center" vertical="center" wrapText="1"/>
      <protection hidden="1"/>
    </xf>
    <xf numFmtId="0" fontId="23" fillId="0" borderId="34" xfId="0" applyFont="1" applyBorder="1" applyAlignment="1" applyProtection="1">
      <alignment horizontal="center" vertical="center" wrapText="1"/>
      <protection locked="0"/>
    </xf>
    <xf numFmtId="0" fontId="51" fillId="44" borderId="57" xfId="0" applyFont="1" applyFill="1" applyBorder="1" applyAlignment="1" applyProtection="1">
      <alignment horizontal="center" vertical="center" wrapText="1"/>
      <protection hidden="1"/>
    </xf>
    <xf numFmtId="0" fontId="51" fillId="38" borderId="50" xfId="0" applyFont="1" applyFill="1" applyBorder="1" applyAlignment="1" applyProtection="1">
      <alignment horizontal="center" vertical="center" wrapText="1"/>
      <protection hidden="1"/>
    </xf>
    <xf numFmtId="0" fontId="51" fillId="37" borderId="49" xfId="0" applyFont="1" applyFill="1" applyBorder="1" applyAlignment="1" applyProtection="1">
      <alignment horizontal="center" vertical="center" wrapText="1"/>
      <protection hidden="1"/>
    </xf>
    <xf numFmtId="0" fontId="21" fillId="0" borderId="36" xfId="0" applyFont="1" applyBorder="1" applyAlignment="1" applyProtection="1">
      <alignment horizontal="center" vertical="center" wrapText="1"/>
      <protection hidden="1"/>
    </xf>
    <xf numFmtId="0" fontId="21" fillId="0" borderId="38" xfId="0" applyFont="1" applyBorder="1" applyAlignment="1" applyProtection="1">
      <alignment horizontal="center" vertical="center" wrapText="1"/>
      <protection hidden="1"/>
    </xf>
    <xf numFmtId="0" fontId="22" fillId="0" borderId="0" xfId="0" applyFont="1" applyAlignment="1" applyProtection="1">
      <alignment horizontal="center" vertical="center" wrapText="1"/>
      <protection hidden="1"/>
    </xf>
    <xf numFmtId="0" fontId="40" fillId="24" borderId="23" xfId="0" applyFont="1" applyFill="1" applyBorder="1" applyAlignment="1" applyProtection="1">
      <alignment horizontal="center" vertical="center" wrapText="1"/>
      <protection hidden="1"/>
    </xf>
    <xf numFmtId="0" fontId="21" fillId="45" borderId="58" xfId="0" applyFont="1" applyFill="1" applyBorder="1" applyAlignment="1" applyProtection="1">
      <alignment horizontal="center" vertical="center" wrapText="1"/>
      <protection hidden="1"/>
    </xf>
    <xf numFmtId="0" fontId="21" fillId="46" borderId="59" xfId="0" applyFont="1" applyFill="1" applyBorder="1" applyAlignment="1" applyProtection="1">
      <alignment horizontal="center" vertical="center" wrapText="1"/>
      <protection hidden="1"/>
    </xf>
    <xf numFmtId="0" fontId="21" fillId="47" borderId="60" xfId="0" applyFont="1" applyFill="1" applyBorder="1" applyAlignment="1" applyProtection="1">
      <alignment horizontal="center" vertical="center" wrapText="1"/>
      <protection hidden="1"/>
    </xf>
    <xf numFmtId="0" fontId="21" fillId="48" borderId="61" xfId="0" applyFont="1" applyFill="1" applyBorder="1" applyAlignment="1" applyProtection="1">
      <alignment horizontal="center" vertical="center" wrapText="1"/>
      <protection hidden="1"/>
    </xf>
    <xf numFmtId="0" fontId="21" fillId="49" borderId="62" xfId="0" applyFont="1" applyFill="1" applyBorder="1" applyAlignment="1" applyProtection="1">
      <alignment horizontal="center" vertical="center" wrapText="1"/>
      <protection locked="0"/>
    </xf>
    <xf numFmtId="0" fontId="21" fillId="50" borderId="63" xfId="0" applyFont="1" applyFill="1" applyBorder="1" applyAlignment="1" applyProtection="1">
      <alignment horizontal="center" vertical="center" wrapText="1"/>
      <protection hidden="1"/>
    </xf>
    <xf numFmtId="0" fontId="21" fillId="0" borderId="34" xfId="0" applyFont="1" applyBorder="1" applyAlignment="1" applyProtection="1">
      <alignment horizontal="center" vertical="center" wrapText="1"/>
      <protection hidden="1"/>
    </xf>
    <xf numFmtId="4" fontId="21" fillId="46" borderId="59" xfId="0" applyNumberFormat="1" applyFont="1" applyFill="1" applyBorder="1" applyAlignment="1" applyProtection="1">
      <alignment horizontal="center" vertical="center" wrapText="1"/>
      <protection hidden="1"/>
    </xf>
    <xf numFmtId="0" fontId="21" fillId="51" borderId="64" xfId="0" applyFont="1" applyFill="1" applyBorder="1" applyAlignment="1" applyProtection="1">
      <alignment horizontal="center" vertical="center" wrapText="1"/>
      <protection hidden="1"/>
    </xf>
    <xf numFmtId="0" fontId="41" fillId="52" borderId="65" xfId="0" applyFont="1" applyFill="1" applyBorder="1" applyAlignment="1" applyProtection="1">
      <alignment horizontal="center" vertical="center" wrapText="1"/>
      <protection hidden="1"/>
    </xf>
    <xf numFmtId="0" fontId="23" fillId="0" borderId="0" xfId="0" applyFont="1" applyAlignment="1" applyProtection="1">
      <alignment horizontal="center" vertical="center" wrapText="1"/>
      <protection locked="0"/>
    </xf>
    <xf numFmtId="0" fontId="21" fillId="0" borderId="35" xfId="0" applyFont="1" applyBorder="1" applyAlignment="1" applyProtection="1">
      <alignment horizontal="center" vertical="center" wrapText="1"/>
      <protection hidden="1"/>
    </xf>
    <xf numFmtId="0" fontId="22" fillId="0" borderId="36" xfId="0" applyFont="1" applyBorder="1" applyAlignment="1" applyProtection="1">
      <alignment horizontal="center" vertical="center" wrapText="1"/>
      <protection hidden="1"/>
    </xf>
    <xf numFmtId="0" fontId="52" fillId="0" borderId="39" xfId="0" applyFont="1" applyBorder="1" applyAlignment="1" applyProtection="1">
      <alignment horizontal="center" vertical="center" wrapText="1"/>
      <protection hidden="1"/>
    </xf>
    <xf numFmtId="0" fontId="31" fillId="0" borderId="0" xfId="0" applyFont="1" applyAlignment="1" applyProtection="1">
      <alignment horizontal="center" vertical="center" wrapText="1"/>
      <protection hidden="1"/>
    </xf>
    <xf numFmtId="0" fontId="43" fillId="0" borderId="0" xfId="0" applyFont="1" applyAlignment="1" applyProtection="1">
      <alignment horizontal="center" vertical="center" wrapText="1"/>
      <protection hidden="1"/>
    </xf>
    <xf numFmtId="2" fontId="43" fillId="0" borderId="0" xfId="0" applyNumberFormat="1" applyFont="1" applyAlignment="1" applyProtection="1">
      <alignment horizontal="center" vertical="center" wrapText="1"/>
      <protection hidden="1"/>
    </xf>
    <xf numFmtId="166" fontId="23" fillId="0" borderId="0" xfId="0" applyNumberFormat="1" applyFont="1" applyAlignment="1" applyProtection="1">
      <alignment horizontal="center" vertical="center" wrapText="1"/>
      <protection hidden="1"/>
    </xf>
    <xf numFmtId="0" fontId="21" fillId="0" borderId="37" xfId="0" applyFont="1" applyBorder="1" applyAlignment="1" applyProtection="1">
      <alignment horizontal="center" vertical="center" wrapText="1"/>
      <protection hidden="1"/>
    </xf>
    <xf numFmtId="0" fontId="22" fillId="0" borderId="38" xfId="0" applyFont="1" applyBorder="1" applyAlignment="1" applyProtection="1">
      <alignment horizontal="center" vertical="center" wrapText="1"/>
      <protection hidden="1"/>
    </xf>
    <xf numFmtId="0" fontId="52" fillId="0" borderId="40" xfId="0" applyFont="1" applyBorder="1" applyAlignment="1" applyProtection="1">
      <alignment horizontal="center" vertical="center" wrapText="1"/>
      <protection hidden="1"/>
    </xf>
    <xf numFmtId="0" fontId="52" fillId="0" borderId="0" xfId="0" applyFont="1" applyAlignment="1" applyProtection="1">
      <alignment horizontal="center" vertical="center" wrapText="1"/>
      <protection hidden="1"/>
    </xf>
    <xf numFmtId="169" fontId="23" fillId="53" borderId="66" xfId="0" applyNumberFormat="1" applyFont="1" applyFill="1" applyBorder="1" applyAlignment="1" applyProtection="1">
      <alignment horizontal="center" vertical="center" wrapText="1"/>
      <protection hidden="1"/>
    </xf>
    <xf numFmtId="2" fontId="23" fillId="0" borderId="0" xfId="0" applyNumberFormat="1" applyFont="1" applyAlignment="1" applyProtection="1">
      <alignment horizontal="center" vertical="center" wrapText="1"/>
      <protection hidden="1"/>
    </xf>
    <xf numFmtId="0" fontId="41" fillId="24" borderId="23" xfId="0" applyFont="1" applyFill="1" applyBorder="1" applyAlignment="1" applyProtection="1">
      <alignment horizontal="center" vertical="center" wrapText="1"/>
      <protection hidden="1"/>
    </xf>
    <xf numFmtId="4" fontId="42" fillId="24" borderId="23" xfId="0" applyNumberFormat="1" applyFont="1" applyFill="1" applyBorder="1" applyAlignment="1" applyProtection="1">
      <alignment horizontal="center" vertical="center" wrapText="1"/>
      <protection hidden="1"/>
    </xf>
    <xf numFmtId="168" fontId="23" fillId="0" borderId="0" xfId="0" applyNumberFormat="1" applyFont="1" applyAlignment="1" applyProtection="1">
      <alignment horizontal="center" vertical="center" wrapText="1"/>
      <protection hidden="1"/>
    </xf>
    <xf numFmtId="4" fontId="23" fillId="0" borderId="0" xfId="0" applyNumberFormat="1" applyFont="1" applyAlignment="1" applyProtection="1">
      <alignment horizontal="center" vertical="center" wrapText="1"/>
      <protection hidden="1"/>
    </xf>
    <xf numFmtId="0" fontId="46" fillId="54" borderId="67" xfId="0" applyFont="1" applyFill="1" applyBorder="1" applyAlignment="1" applyProtection="1">
      <alignment horizontal="center" vertical="center" wrapText="1"/>
      <protection hidden="1"/>
    </xf>
    <xf numFmtId="166" fontId="63" fillId="55" borderId="68" xfId="31" applyFill="1" applyBorder="1" applyAlignment="1" applyProtection="1">
      <alignment horizontal="center" vertical="center" wrapText="1"/>
      <protection hidden="1"/>
    </xf>
    <xf numFmtId="166" fontId="63" fillId="39" borderId="51" xfId="31" applyFill="1" applyBorder="1" applyAlignment="1" applyProtection="1">
      <alignment horizontal="center" vertical="center" wrapText="1"/>
      <protection hidden="1"/>
    </xf>
    <xf numFmtId="166" fontId="63" fillId="56" borderId="69" xfId="31" applyFill="1" applyBorder="1" applyAlignment="1" applyProtection="1">
      <alignment horizontal="center" vertical="center" wrapText="1"/>
      <protection hidden="1"/>
    </xf>
    <xf numFmtId="174" fontId="21" fillId="46" borderId="59" xfId="0" applyNumberFormat="1" applyFont="1" applyFill="1" applyBorder="1" applyAlignment="1" applyProtection="1">
      <alignment horizontal="center" vertical="center" wrapText="1"/>
      <protection hidden="1"/>
    </xf>
    <xf numFmtId="3" fontId="21" fillId="46" borderId="59" xfId="0" applyNumberFormat="1" applyFont="1" applyFill="1" applyBorder="1" applyAlignment="1" applyProtection="1">
      <alignment horizontal="center" vertical="center" wrapText="1"/>
      <protection hidden="1"/>
    </xf>
    <xf numFmtId="166" fontId="63" fillId="0" borderId="45" xfId="31" applyBorder="1" applyAlignment="1" applyProtection="1">
      <alignment horizontal="center" vertical="center" wrapText="1"/>
      <protection hidden="1"/>
    </xf>
    <xf numFmtId="166" fontId="53" fillId="0" borderId="45" xfId="31" applyFont="1" applyBorder="1" applyAlignment="1" applyProtection="1">
      <alignment horizontal="center" vertical="center" wrapText="1"/>
      <protection hidden="1"/>
    </xf>
    <xf numFmtId="166" fontId="63" fillId="0" borderId="44" xfId="31" applyBorder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center" vertical="center" wrapText="1"/>
      <protection locked="0"/>
    </xf>
    <xf numFmtId="166" fontId="63" fillId="57" borderId="70" xfId="31" applyFill="1" applyBorder="1" applyAlignment="1" applyProtection="1">
      <alignment horizontal="center" vertical="center" wrapText="1"/>
      <protection hidden="1"/>
    </xf>
    <xf numFmtId="166" fontId="53" fillId="0" borderId="34" xfId="31" applyFont="1" applyBorder="1" applyAlignment="1" applyProtection="1">
      <alignment horizontal="center" vertical="center" wrapText="1"/>
      <protection hidden="1"/>
    </xf>
    <xf numFmtId="166" fontId="63" fillId="0" borderId="34" xfId="31" applyBorder="1" applyAlignment="1" applyProtection="1">
      <alignment horizontal="center" vertical="center" wrapText="1"/>
      <protection hidden="1"/>
    </xf>
    <xf numFmtId="166" fontId="63" fillId="58" borderId="71" xfId="31" applyFill="1" applyBorder="1" applyAlignment="1" applyProtection="1">
      <alignment horizontal="center" vertical="center" wrapText="1"/>
      <protection hidden="1"/>
    </xf>
    <xf numFmtId="166" fontId="63" fillId="59" borderId="72" xfId="31" applyFill="1" applyBorder="1" applyAlignment="1" applyProtection="1">
      <alignment horizontal="center" vertical="center" wrapText="1"/>
      <protection hidden="1"/>
    </xf>
    <xf numFmtId="0" fontId="21" fillId="60" borderId="73" xfId="0" applyFont="1" applyFill="1" applyBorder="1" applyAlignment="1" applyProtection="1">
      <alignment horizontal="center" vertical="center" wrapText="1"/>
      <protection hidden="1"/>
    </xf>
    <xf numFmtId="166" fontId="63" fillId="49" borderId="62" xfId="31" applyFill="1" applyBorder="1" applyAlignment="1" applyProtection="1">
      <alignment horizontal="center" vertical="center" wrapText="1"/>
      <protection hidden="1"/>
    </xf>
    <xf numFmtId="170" fontId="21" fillId="46" borderId="59" xfId="0" applyNumberFormat="1" applyFont="1" applyFill="1" applyBorder="1" applyAlignment="1" applyProtection="1">
      <alignment horizontal="center" vertical="center" wrapText="1"/>
      <protection hidden="1"/>
    </xf>
    <xf numFmtId="3" fontId="21" fillId="51" borderId="64" xfId="0" applyNumberFormat="1" applyFont="1" applyFill="1" applyBorder="1" applyAlignment="1" applyProtection="1">
      <alignment horizontal="center" vertical="center" wrapText="1"/>
      <protection hidden="1"/>
    </xf>
    <xf numFmtId="170" fontId="21" fillId="51" borderId="64" xfId="0" applyNumberFormat="1" applyFont="1" applyFill="1" applyBorder="1" applyAlignment="1" applyProtection="1">
      <alignment horizontal="center" vertical="center" wrapText="1"/>
      <protection hidden="1"/>
    </xf>
    <xf numFmtId="0" fontId="21" fillId="61" borderId="74" xfId="0" applyFont="1" applyFill="1" applyBorder="1" applyAlignment="1" applyProtection="1">
      <alignment horizontal="center" vertical="center" wrapText="1"/>
      <protection locked="0"/>
    </xf>
    <xf numFmtId="174" fontId="21" fillId="53" borderId="66" xfId="0" applyNumberFormat="1" applyFont="1" applyFill="1" applyBorder="1" applyAlignment="1" applyProtection="1">
      <alignment horizontal="center" vertical="center" wrapText="1"/>
      <protection locked="0"/>
    </xf>
    <xf numFmtId="3" fontId="21" fillId="61" borderId="74" xfId="0" applyNumberFormat="1" applyFont="1" applyFill="1" applyBorder="1" applyAlignment="1" applyProtection="1">
      <alignment horizontal="center" vertical="center" wrapText="1"/>
      <protection locked="0"/>
    </xf>
    <xf numFmtId="166" fontId="53" fillId="57" borderId="70" xfId="31" applyFont="1" applyFill="1" applyBorder="1" applyAlignment="1" applyProtection="1">
      <alignment horizontal="center" vertical="center" wrapText="1"/>
      <protection hidden="1"/>
    </xf>
    <xf numFmtId="174" fontId="21" fillId="51" borderId="64" xfId="0" applyNumberFormat="1" applyFont="1" applyFill="1" applyBorder="1" applyAlignment="1" applyProtection="1">
      <alignment horizontal="center" vertical="center" wrapText="1"/>
      <protection hidden="1"/>
    </xf>
    <xf numFmtId="0" fontId="21" fillId="62" borderId="75" xfId="0" applyFont="1" applyFill="1" applyBorder="1" applyAlignment="1" applyProtection="1">
      <alignment horizontal="center" vertical="center" wrapText="1"/>
      <protection hidden="1"/>
    </xf>
    <xf numFmtId="0" fontId="21" fillId="63" borderId="76" xfId="0" applyFont="1" applyFill="1" applyBorder="1" applyAlignment="1" applyProtection="1">
      <alignment horizontal="center" vertical="center" wrapText="1"/>
      <protection hidden="1"/>
    </xf>
    <xf numFmtId="170" fontId="21" fillId="45" borderId="58" xfId="0" applyNumberFormat="1" applyFont="1" applyFill="1" applyBorder="1" applyAlignment="1" applyProtection="1">
      <alignment horizontal="center" vertical="center" wrapText="1"/>
      <protection hidden="1"/>
    </xf>
    <xf numFmtId="166" fontId="63" fillId="60" borderId="73" xfId="31" applyFill="1" applyBorder="1" applyAlignment="1" applyProtection="1">
      <alignment horizontal="center" vertical="center" wrapText="1"/>
      <protection hidden="1"/>
    </xf>
    <xf numFmtId="166" fontId="53" fillId="60" borderId="73" xfId="31" applyFont="1" applyFill="1" applyBorder="1" applyAlignment="1" applyProtection="1">
      <alignment horizontal="center" vertical="center" wrapText="1"/>
      <protection hidden="1"/>
    </xf>
    <xf numFmtId="166" fontId="63" fillId="47" borderId="60" xfId="31" applyFill="1" applyBorder="1" applyAlignment="1" applyProtection="1">
      <alignment horizontal="center" vertical="center" wrapText="1"/>
      <protection hidden="1"/>
    </xf>
    <xf numFmtId="0" fontId="44" fillId="0" borderId="0" xfId="0" applyFont="1" applyAlignment="1" applyProtection="1">
      <alignment horizontal="center" vertical="center" wrapText="1"/>
      <protection locked="0"/>
    </xf>
    <xf numFmtId="166" fontId="63" fillId="65" borderId="79" xfId="31" applyFill="1" applyBorder="1" applyAlignment="1" applyProtection="1">
      <alignment horizontal="center" vertical="center" wrapText="1"/>
      <protection hidden="1"/>
    </xf>
    <xf numFmtId="174" fontId="21" fillId="0" borderId="34" xfId="0" applyNumberFormat="1" applyFont="1" applyBorder="1" applyAlignment="1" applyProtection="1">
      <alignment horizontal="center" vertical="center" wrapText="1"/>
      <protection hidden="1"/>
    </xf>
    <xf numFmtId="166" fontId="13" fillId="56" borderId="69" xfId="31" applyFont="1" applyFill="1" applyBorder="1" applyAlignment="1" applyProtection="1">
      <alignment horizontal="center" vertical="center" wrapText="1"/>
      <protection hidden="1"/>
    </xf>
    <xf numFmtId="166" fontId="13" fillId="57" borderId="70" xfId="31" applyFont="1" applyFill="1" applyBorder="1" applyAlignment="1" applyProtection="1">
      <alignment horizontal="center" vertical="center" wrapText="1"/>
      <protection hidden="1"/>
    </xf>
    <xf numFmtId="166" fontId="13" fillId="49" borderId="62" xfId="31" applyFont="1" applyFill="1" applyBorder="1" applyAlignment="1" applyProtection="1">
      <alignment horizontal="center" vertical="center" wrapText="1"/>
      <protection hidden="1"/>
    </xf>
    <xf numFmtId="175" fontId="21" fillId="46" borderId="59" xfId="0" applyNumberFormat="1" applyFont="1" applyFill="1" applyBorder="1" applyAlignment="1" applyProtection="1">
      <alignment horizontal="center" vertical="center" wrapText="1"/>
      <protection hidden="1"/>
    </xf>
    <xf numFmtId="166" fontId="53" fillId="66" borderId="80" xfId="31" applyFont="1" applyFill="1" applyBorder="1" applyAlignment="1" applyProtection="1">
      <alignment horizontal="center" vertical="center" wrapText="1"/>
      <protection hidden="1"/>
    </xf>
    <xf numFmtId="166" fontId="63" fillId="67" borderId="82" xfId="31" applyFill="1" applyBorder="1" applyAlignment="1" applyProtection="1">
      <alignment horizontal="center" vertical="center" wrapText="1"/>
      <protection hidden="1"/>
    </xf>
    <xf numFmtId="166" fontId="63" fillId="68" borderId="83" xfId="31" applyFill="1" applyBorder="1" applyAlignment="1" applyProtection="1">
      <alignment horizontal="center" vertical="center" wrapText="1"/>
      <protection hidden="1"/>
    </xf>
    <xf numFmtId="166" fontId="63" fillId="0" borderId="84" xfId="31" applyBorder="1" applyAlignment="1" applyProtection="1">
      <alignment horizontal="center" vertical="center" wrapText="1"/>
      <protection hidden="1"/>
    </xf>
    <xf numFmtId="0" fontId="21" fillId="55" borderId="68" xfId="0" applyFont="1" applyFill="1" applyBorder="1" applyAlignment="1" applyProtection="1">
      <alignment horizontal="center" vertical="center" wrapText="1"/>
      <protection hidden="1"/>
    </xf>
    <xf numFmtId="0" fontId="21" fillId="52" borderId="65" xfId="0" applyFont="1" applyFill="1" applyBorder="1" applyAlignment="1" applyProtection="1">
      <alignment horizontal="center" vertical="center" wrapText="1"/>
      <protection hidden="1"/>
    </xf>
    <xf numFmtId="0" fontId="21" fillId="69" borderId="85" xfId="0" applyFont="1" applyFill="1" applyBorder="1" applyAlignment="1" applyProtection="1">
      <alignment horizontal="center" vertical="center" wrapText="1"/>
      <protection hidden="1"/>
    </xf>
    <xf numFmtId="2" fontId="23" fillId="0" borderId="0" xfId="0" applyNumberFormat="1" applyFont="1" applyAlignment="1" applyProtection="1">
      <alignment horizontal="center" vertical="center" wrapText="1"/>
      <protection locked="0"/>
    </xf>
    <xf numFmtId="166" fontId="63" fillId="0" borderId="0" xfId="31" applyAlignment="1" applyProtection="1">
      <alignment horizontal="center" vertical="center" wrapText="1"/>
      <protection locked="0"/>
    </xf>
    <xf numFmtId="0" fontId="43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2" fontId="21" fillId="0" borderId="44" xfId="0" applyNumberFormat="1" applyFont="1" applyBorder="1" applyAlignment="1" applyProtection="1">
      <alignment horizontal="center" vertical="center" wrapText="1"/>
      <protection hidden="1"/>
    </xf>
    <xf numFmtId="166" fontId="63" fillId="70" borderId="86" xfId="31" applyFill="1" applyBorder="1" applyAlignment="1" applyProtection="1">
      <alignment horizontal="center" vertical="center" wrapText="1"/>
      <protection hidden="1"/>
    </xf>
    <xf numFmtId="169" fontId="21" fillId="0" borderId="34" xfId="0" applyNumberFormat="1" applyFont="1" applyBorder="1" applyAlignment="1" applyProtection="1">
      <alignment horizontal="center" vertical="center" wrapText="1"/>
      <protection hidden="1"/>
    </xf>
    <xf numFmtId="169" fontId="21" fillId="34" borderId="41" xfId="0" applyNumberFormat="1" applyFont="1" applyFill="1" applyBorder="1" applyAlignment="1" applyProtection="1">
      <alignment horizontal="center" vertical="center" wrapText="1"/>
      <protection hidden="1"/>
    </xf>
    <xf numFmtId="169" fontId="51" fillId="34" borderId="41" xfId="0" applyNumberFormat="1" applyFont="1" applyFill="1" applyBorder="1" applyAlignment="1" applyProtection="1">
      <alignment horizontal="center" vertical="center" wrapText="1"/>
      <protection hidden="1"/>
    </xf>
    <xf numFmtId="169" fontId="21" fillId="61" borderId="74" xfId="0" applyNumberFormat="1" applyFont="1" applyFill="1" applyBorder="1" applyAlignment="1" applyProtection="1">
      <alignment horizontal="center" vertical="center" wrapText="1"/>
      <protection hidden="1"/>
    </xf>
    <xf numFmtId="169" fontId="28" fillId="0" borderId="34" xfId="0" applyNumberFormat="1" applyFont="1" applyBorder="1" applyAlignment="1" applyProtection="1">
      <alignment horizontal="center" vertical="center" wrapText="1"/>
      <protection hidden="1"/>
    </xf>
    <xf numFmtId="169" fontId="51" fillId="0" borderId="34" xfId="0" applyNumberFormat="1" applyFont="1" applyBorder="1" applyAlignment="1" applyProtection="1">
      <alignment horizontal="center" vertical="center" wrapText="1"/>
      <protection hidden="1"/>
    </xf>
    <xf numFmtId="0" fontId="21" fillId="39" borderId="51" xfId="36" applyNumberFormat="1" applyFont="1" applyFill="1" applyBorder="1" applyAlignment="1" applyProtection="1">
      <alignment horizontal="center" vertical="center" wrapText="1"/>
      <protection hidden="1"/>
    </xf>
    <xf numFmtId="172" fontId="21" fillId="39" borderId="51" xfId="36" applyNumberFormat="1" applyFont="1" applyFill="1" applyBorder="1" applyAlignment="1" applyProtection="1">
      <alignment horizontal="center" vertical="center" wrapText="1"/>
      <protection hidden="1"/>
    </xf>
    <xf numFmtId="166" fontId="63" fillId="71" borderId="87" xfId="31" applyFill="1" applyBorder="1" applyAlignment="1" applyProtection="1">
      <alignment horizontal="center" vertical="center" wrapText="1"/>
      <protection hidden="1"/>
    </xf>
    <xf numFmtId="2" fontId="21" fillId="0" borderId="88" xfId="0" applyNumberFormat="1" applyFont="1" applyBorder="1" applyAlignment="1" applyProtection="1">
      <alignment horizontal="center" vertical="center" wrapText="1"/>
      <protection hidden="1"/>
    </xf>
    <xf numFmtId="169" fontId="21" fillId="72" borderId="89" xfId="0" applyNumberFormat="1" applyFont="1" applyFill="1" applyBorder="1" applyAlignment="1" applyProtection="1">
      <alignment horizontal="center" vertical="center" wrapText="1"/>
      <protection hidden="1"/>
    </xf>
    <xf numFmtId="169" fontId="28" fillId="0" borderId="90" xfId="0" applyNumberFormat="1" applyFont="1" applyBorder="1" applyAlignment="1" applyProtection="1">
      <alignment horizontal="center" vertical="center" wrapText="1"/>
      <protection hidden="1"/>
    </xf>
    <xf numFmtId="169" fontId="28" fillId="0" borderId="84" xfId="0" applyNumberFormat="1" applyFont="1" applyBorder="1" applyAlignment="1" applyProtection="1">
      <alignment horizontal="center" vertical="center" wrapText="1"/>
      <protection hidden="1"/>
    </xf>
    <xf numFmtId="169" fontId="51" fillId="0" borderId="84" xfId="0" applyNumberFormat="1" applyFont="1" applyBorder="1" applyAlignment="1" applyProtection="1">
      <alignment horizontal="center" vertical="center" wrapText="1"/>
      <protection hidden="1"/>
    </xf>
    <xf numFmtId="169" fontId="21" fillId="0" borderId="84" xfId="0" applyNumberFormat="1" applyFont="1" applyBorder="1" applyAlignment="1" applyProtection="1">
      <alignment horizontal="center" vertical="center" wrapText="1"/>
      <protection hidden="1"/>
    </xf>
    <xf numFmtId="169" fontId="21" fillId="0" borderId="46" xfId="0" applyNumberFormat="1" applyFont="1" applyBorder="1" applyAlignment="1" applyProtection="1">
      <alignment horizontal="center" vertical="center" wrapText="1"/>
      <protection hidden="1"/>
    </xf>
    <xf numFmtId="0" fontId="21" fillId="73" borderId="91" xfId="0" applyFont="1" applyFill="1" applyBorder="1" applyAlignment="1" applyProtection="1">
      <alignment horizontal="center" vertical="center" wrapText="1"/>
      <protection hidden="1"/>
    </xf>
    <xf numFmtId="0" fontId="21" fillId="0" borderId="44" xfId="0" applyFont="1" applyBorder="1" applyAlignment="1" applyProtection="1">
      <alignment horizontal="center" vertical="center" wrapText="1"/>
      <protection locked="0"/>
    </xf>
    <xf numFmtId="0" fontId="21" fillId="0" borderId="34" xfId="0" applyFont="1" applyBorder="1" applyAlignment="1" applyProtection="1">
      <alignment horizontal="center" vertical="center" wrapText="1"/>
      <protection locked="0"/>
    </xf>
    <xf numFmtId="169" fontId="21" fillId="70" borderId="86" xfId="0" applyNumberFormat="1" applyFont="1" applyFill="1" applyBorder="1" applyAlignment="1" applyProtection="1">
      <alignment horizontal="center" vertical="center" wrapText="1"/>
      <protection hidden="1"/>
    </xf>
    <xf numFmtId="0" fontId="51" fillId="0" borderId="34" xfId="0" applyFont="1" applyBorder="1" applyAlignment="1" applyProtection="1">
      <alignment horizontal="center" vertical="center" wrapText="1"/>
      <protection locked="0"/>
    </xf>
    <xf numFmtId="3" fontId="21" fillId="40" borderId="52" xfId="0" applyNumberFormat="1" applyFont="1" applyFill="1" applyBorder="1" applyAlignment="1" applyProtection="1">
      <alignment horizontal="center" vertical="center" wrapText="1"/>
      <protection hidden="1"/>
    </xf>
    <xf numFmtId="0" fontId="47" fillId="64" borderId="77" xfId="0" applyFont="1" applyFill="1" applyBorder="1" applyAlignment="1" applyProtection="1">
      <alignment horizontal="center" vertical="center" wrapText="1"/>
      <protection hidden="1"/>
    </xf>
    <xf numFmtId="0" fontId="32" fillId="64" borderId="77" xfId="0" applyFont="1" applyFill="1" applyBorder="1" applyAlignment="1" applyProtection="1">
      <alignment horizontal="center" vertical="center" wrapText="1"/>
      <protection hidden="1"/>
    </xf>
    <xf numFmtId="0" fontId="33" fillId="64" borderId="77" xfId="0" applyFont="1" applyFill="1" applyBorder="1" applyAlignment="1" applyProtection="1">
      <alignment horizontal="center" vertical="center" wrapText="1"/>
      <protection hidden="1"/>
    </xf>
    <xf numFmtId="0" fontId="54" fillId="64" borderId="77" xfId="0" applyFont="1" applyFill="1" applyBorder="1" applyAlignment="1" applyProtection="1">
      <alignment horizontal="center" vertical="center" wrapText="1"/>
      <protection hidden="1"/>
    </xf>
    <xf numFmtId="169" fontId="23" fillId="0" borderId="0" xfId="0" applyNumberFormat="1" applyFont="1" applyAlignment="1" applyProtection="1">
      <alignment horizontal="center" vertical="center" wrapText="1"/>
      <protection locked="0"/>
    </xf>
    <xf numFmtId="166" fontId="23" fillId="0" borderId="0" xfId="0" applyNumberFormat="1" applyFont="1" applyAlignment="1" applyProtection="1">
      <alignment horizontal="center" vertical="center" wrapText="1"/>
      <protection locked="0"/>
    </xf>
    <xf numFmtId="4" fontId="23" fillId="0" borderId="0" xfId="0" applyNumberFormat="1" applyFont="1" applyAlignment="1" applyProtection="1">
      <alignment horizontal="center" vertical="center" wrapText="1"/>
      <protection locked="0"/>
    </xf>
    <xf numFmtId="0" fontId="21" fillId="0" borderId="36" xfId="0" applyFont="1" applyBorder="1" applyAlignment="1" applyProtection="1">
      <alignment horizontal="left" vertical="center" wrapText="1"/>
      <protection hidden="1"/>
    </xf>
    <xf numFmtId="0" fontId="21" fillId="0" borderId="38" xfId="0" applyFont="1" applyBorder="1" applyAlignment="1" applyProtection="1">
      <alignment horizontal="left" vertical="center" wrapText="1"/>
      <protection hidden="1"/>
    </xf>
    <xf numFmtId="0" fontId="22" fillId="0" borderId="0" xfId="0" applyFont="1" applyAlignment="1" applyProtection="1">
      <alignment horizontal="left" vertical="center" wrapText="1"/>
      <protection hidden="1"/>
    </xf>
    <xf numFmtId="0" fontId="23" fillId="0" borderId="0" xfId="0" applyFont="1" applyAlignment="1" applyProtection="1">
      <alignment horizontal="left" vertical="center" wrapText="1"/>
      <protection hidden="1"/>
    </xf>
    <xf numFmtId="0" fontId="40" fillId="24" borderId="23" xfId="0" applyFont="1" applyFill="1" applyBorder="1" applyAlignment="1" applyProtection="1">
      <alignment horizontal="left" vertical="center" wrapText="1"/>
      <protection hidden="1"/>
    </xf>
    <xf numFmtId="0" fontId="46" fillId="37" borderId="49" xfId="0" applyFont="1" applyFill="1" applyBorder="1" applyAlignment="1" applyProtection="1">
      <alignment horizontal="left" vertical="center" wrapText="1"/>
      <protection hidden="1"/>
    </xf>
    <xf numFmtId="0" fontId="41" fillId="52" borderId="65" xfId="0" applyFont="1" applyFill="1" applyBorder="1" applyAlignment="1" applyProtection="1">
      <alignment horizontal="left" vertical="center" wrapText="1"/>
      <protection hidden="1"/>
    </xf>
    <xf numFmtId="0" fontId="23" fillId="0" borderId="0" xfId="0" applyFont="1" applyAlignment="1" applyProtection="1">
      <alignment horizontal="left" vertical="center" wrapText="1"/>
      <protection locked="0"/>
    </xf>
    <xf numFmtId="0" fontId="21" fillId="40" borderId="52" xfId="0" applyFont="1" applyFill="1" applyBorder="1" applyAlignment="1" applyProtection="1">
      <alignment horizontal="left" vertical="center" wrapText="1"/>
      <protection hidden="1"/>
    </xf>
    <xf numFmtId="171" fontId="55" fillId="0" borderId="0" xfId="36" applyFont="1" applyProtection="1">
      <protection hidden="1"/>
    </xf>
    <xf numFmtId="0" fontId="56" fillId="53" borderId="66" xfId="0" applyFont="1" applyFill="1" applyBorder="1"/>
    <xf numFmtId="0" fontId="56" fillId="53" borderId="66" xfId="0" applyFont="1" applyFill="1" applyBorder="1" applyAlignment="1">
      <alignment horizontal="left"/>
    </xf>
    <xf numFmtId="0" fontId="56" fillId="53" borderId="66" xfId="0" applyFont="1" applyFill="1" applyBorder="1" applyAlignment="1">
      <alignment horizontal="center" vertical="center" wrapText="1"/>
    </xf>
    <xf numFmtId="0" fontId="56" fillId="53" borderId="66" xfId="0" applyFont="1" applyFill="1" applyBorder="1" applyAlignment="1">
      <alignment horizontal="center"/>
    </xf>
    <xf numFmtId="0" fontId="56" fillId="53" borderId="66" xfId="0" applyFont="1" applyFill="1" applyBorder="1" applyAlignment="1">
      <alignment horizontal="right"/>
    </xf>
    <xf numFmtId="0" fontId="56" fillId="53" borderId="66" xfId="0" applyFont="1" applyFill="1" applyBorder="1" applyProtection="1">
      <protection hidden="1"/>
    </xf>
    <xf numFmtId="0" fontId="56" fillId="53" borderId="66" xfId="0" applyFont="1" applyFill="1" applyBorder="1" applyAlignment="1" applyProtection="1">
      <alignment horizontal="center"/>
      <protection hidden="1"/>
    </xf>
    <xf numFmtId="0" fontId="56" fillId="53" borderId="66" xfId="0" applyFont="1" applyFill="1" applyBorder="1" applyAlignment="1" applyProtection="1">
      <alignment horizontal="left"/>
      <protection hidden="1"/>
    </xf>
    <xf numFmtId="0" fontId="56" fillId="53" borderId="66" xfId="0" applyFont="1" applyFill="1" applyBorder="1" applyAlignment="1" applyProtection="1">
      <alignment horizontal="center" vertical="center" wrapText="1"/>
      <protection hidden="1"/>
    </xf>
    <xf numFmtId="0" fontId="56" fillId="53" borderId="66" xfId="0" applyFont="1" applyFill="1" applyBorder="1" applyAlignment="1" applyProtection="1">
      <alignment horizontal="right"/>
      <protection hidden="1"/>
    </xf>
    <xf numFmtId="0" fontId="56" fillId="53" borderId="66" xfId="0" applyFont="1" applyFill="1" applyBorder="1" applyAlignment="1" applyProtection="1">
      <alignment horizontal="center" vertical="center"/>
      <protection hidden="1"/>
    </xf>
    <xf numFmtId="0" fontId="56" fillId="74" borderId="92" xfId="0" applyFont="1" applyFill="1" applyBorder="1" applyAlignment="1" applyProtection="1">
      <alignment horizontal="center" vertical="center" wrapText="1"/>
      <protection hidden="1"/>
    </xf>
    <xf numFmtId="0" fontId="56" fillId="75" borderId="93" xfId="0" applyFont="1" applyFill="1" applyBorder="1" applyAlignment="1" applyProtection="1">
      <alignment horizontal="center" vertical="center" wrapText="1"/>
      <protection hidden="1"/>
    </xf>
    <xf numFmtId="0" fontId="56" fillId="75" borderId="93" xfId="0" applyFont="1" applyFill="1" applyBorder="1" applyAlignment="1" applyProtection="1">
      <alignment horizontal="right" vertical="center" wrapText="1"/>
      <protection hidden="1"/>
    </xf>
    <xf numFmtId="0" fontId="56" fillId="74" borderId="92" xfId="0" applyFont="1" applyFill="1" applyBorder="1" applyAlignment="1" applyProtection="1">
      <alignment horizontal="center" vertical="center"/>
      <protection hidden="1"/>
    </xf>
    <xf numFmtId="0" fontId="56" fillId="76" borderId="94" xfId="0" applyFont="1" applyFill="1" applyBorder="1" applyAlignment="1" applyProtection="1">
      <alignment horizontal="center" vertical="center"/>
      <protection hidden="1"/>
    </xf>
    <xf numFmtId="0" fontId="56" fillId="75" borderId="93" xfId="36" applyNumberFormat="1" applyFont="1" applyFill="1" applyBorder="1" applyAlignment="1" applyProtection="1">
      <alignment horizontal="center" vertical="center" wrapText="1"/>
      <protection hidden="1"/>
    </xf>
    <xf numFmtId="174" fontId="56" fillId="75" borderId="93" xfId="36" applyNumberFormat="1" applyFont="1" applyFill="1" applyBorder="1" applyAlignment="1" applyProtection="1">
      <alignment horizontal="center" vertical="center"/>
      <protection hidden="1"/>
    </xf>
    <xf numFmtId="0" fontId="56" fillId="75" borderId="93" xfId="0" applyFont="1" applyFill="1" applyBorder="1" applyAlignment="1" applyProtection="1">
      <alignment horizontal="center" vertical="center"/>
      <protection hidden="1"/>
    </xf>
    <xf numFmtId="171" fontId="56" fillId="75" borderId="93" xfId="36" applyFont="1" applyFill="1" applyBorder="1" applyAlignment="1" applyProtection="1">
      <alignment horizontal="right" vertical="center"/>
      <protection hidden="1"/>
    </xf>
    <xf numFmtId="0" fontId="58" fillId="53" borderId="66" xfId="0" applyFont="1" applyFill="1" applyBorder="1" applyAlignment="1" applyProtection="1">
      <alignment horizontal="center" vertical="center"/>
      <protection hidden="1"/>
    </xf>
    <xf numFmtId="169" fontId="56" fillId="53" borderId="66" xfId="0" applyNumberFormat="1" applyFont="1" applyFill="1" applyBorder="1" applyAlignment="1" applyProtection="1">
      <alignment horizontal="center" vertical="center"/>
      <protection hidden="1"/>
    </xf>
    <xf numFmtId="0" fontId="56" fillId="53" borderId="66" xfId="0" applyFont="1" applyFill="1" applyBorder="1" applyAlignment="1">
      <alignment horizontal="center" vertical="center"/>
    </xf>
    <xf numFmtId="0" fontId="56" fillId="74" borderId="92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2" fontId="63" fillId="77" borderId="99" xfId="36" applyNumberFormat="1" applyFill="1" applyBorder="1" applyAlignment="1" applyProtection="1">
      <alignment horizontal="right" vertical="center" wrapText="1"/>
      <protection hidden="1"/>
    </xf>
    <xf numFmtId="166" fontId="63" fillId="79" borderId="101" xfId="31" applyFill="1" applyBorder="1" applyAlignment="1" applyProtection="1">
      <alignment horizontal="center" vertical="center" wrapText="1"/>
      <protection hidden="1"/>
    </xf>
    <xf numFmtId="0" fontId="0" fillId="80" borderId="102" xfId="0" applyFill="1" applyBorder="1"/>
    <xf numFmtId="10" fontId="0" fillId="0" borderId="103" xfId="0" applyNumberFormat="1" applyBorder="1"/>
    <xf numFmtId="9" fontId="0" fillId="0" borderId="104" xfId="0" applyNumberFormat="1" applyBorder="1"/>
    <xf numFmtId="0" fontId="0" fillId="0" borderId="105" xfId="0" applyBorder="1"/>
    <xf numFmtId="9" fontId="0" fillId="0" borderId="106" xfId="0" applyNumberFormat="1" applyBorder="1"/>
    <xf numFmtId="171" fontId="63" fillId="0" borderId="107" xfId="36" applyBorder="1"/>
    <xf numFmtId="171" fontId="63" fillId="0" borderId="103" xfId="36" applyBorder="1"/>
    <xf numFmtId="171" fontId="63" fillId="0" borderId="108" xfId="36" applyBorder="1"/>
    <xf numFmtId="171" fontId="63" fillId="0" borderId="104" xfId="36" applyBorder="1"/>
    <xf numFmtId="171" fontId="63" fillId="0" borderId="105" xfId="36" applyBorder="1"/>
    <xf numFmtId="171" fontId="63" fillId="0" borderId="106" xfId="36" applyBorder="1"/>
    <xf numFmtId="171" fontId="0" fillId="0" borderId="107" xfId="0" applyNumberFormat="1" applyBorder="1"/>
    <xf numFmtId="43" fontId="0" fillId="0" borderId="104" xfId="0" applyNumberFormat="1" applyBorder="1"/>
    <xf numFmtId="10" fontId="63" fillId="0" borderId="0" xfId="34" applyNumberFormat="1"/>
    <xf numFmtId="0" fontId="13" fillId="0" borderId="109" xfId="0" applyFont="1" applyBorder="1" applyAlignment="1" applyProtection="1">
      <alignment horizontal="center"/>
      <protection hidden="1"/>
    </xf>
    <xf numFmtId="0" fontId="13" fillId="0" borderId="110" xfId="0" applyFont="1" applyBorder="1" applyAlignment="1" applyProtection="1">
      <alignment horizontal="center"/>
      <protection hidden="1"/>
    </xf>
    <xf numFmtId="10" fontId="63" fillId="0" borderId="111" xfId="34" applyNumberFormat="1" applyBorder="1" applyProtection="1">
      <protection hidden="1"/>
    </xf>
    <xf numFmtId="171" fontId="63" fillId="0" borderId="111" xfId="36" applyBorder="1" applyProtection="1">
      <protection hidden="1"/>
    </xf>
    <xf numFmtId="0" fontId="13" fillId="0" borderId="112" xfId="0" applyFont="1" applyBorder="1" applyAlignment="1" applyProtection="1">
      <alignment horizontal="center"/>
      <protection hidden="1"/>
    </xf>
    <xf numFmtId="171" fontId="63" fillId="0" borderId="109" xfId="36" applyBorder="1" applyProtection="1">
      <protection hidden="1"/>
    </xf>
    <xf numFmtId="0" fontId="0" fillId="0" borderId="112" xfId="0" applyBorder="1"/>
    <xf numFmtId="0" fontId="0" fillId="0" borderId="109" xfId="0" applyBorder="1"/>
    <xf numFmtId="171" fontId="11" fillId="0" borderId="113" xfId="36" applyFont="1" applyBorder="1"/>
    <xf numFmtId="43" fontId="11" fillId="0" borderId="113" xfId="0" applyNumberFormat="1" applyFont="1" applyBorder="1"/>
    <xf numFmtId="0" fontId="46" fillId="44" borderId="57" xfId="0" applyFont="1" applyFill="1" applyBorder="1" applyAlignment="1" applyProtection="1">
      <alignment horizontal="center" vertical="center" wrapText="1"/>
      <protection hidden="1"/>
    </xf>
    <xf numFmtId="0" fontId="21" fillId="81" borderId="114" xfId="0" applyFont="1" applyFill="1" applyBorder="1" applyAlignment="1" applyProtection="1">
      <alignment vertical="center" wrapText="1"/>
      <protection hidden="1"/>
    </xf>
    <xf numFmtId="0" fontId="21" fillId="46" borderId="59" xfId="0" applyFont="1" applyFill="1" applyBorder="1" applyAlignment="1" applyProtection="1">
      <alignment horizontal="center"/>
      <protection hidden="1"/>
    </xf>
    <xf numFmtId="3" fontId="21" fillId="46" borderId="59" xfId="0" applyNumberFormat="1" applyFont="1" applyFill="1" applyBorder="1" applyAlignment="1" applyProtection="1">
      <alignment horizontal="center"/>
      <protection hidden="1"/>
    </xf>
    <xf numFmtId="0" fontId="23" fillId="53" borderId="66" xfId="0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/>
    <xf numFmtId="0" fontId="21" fillId="0" borderId="34" xfId="0" applyFont="1" applyBorder="1" applyAlignment="1" applyProtection="1">
      <alignment horizontal="left" vertical="center" wrapText="1"/>
      <protection hidden="1"/>
    </xf>
    <xf numFmtId="0" fontId="31" fillId="68" borderId="83" xfId="0" applyFont="1" applyFill="1" applyBorder="1" applyAlignment="1" applyProtection="1">
      <alignment horizontal="center" vertical="center" wrapText="1"/>
      <protection hidden="1"/>
    </xf>
    <xf numFmtId="169" fontId="23" fillId="68" borderId="83" xfId="0" applyNumberFormat="1" applyFont="1" applyFill="1" applyBorder="1" applyProtection="1">
      <protection hidden="1"/>
    </xf>
    <xf numFmtId="169" fontId="23" fillId="0" borderId="0" xfId="0" applyNumberFormat="1" applyFont="1" applyProtection="1">
      <protection hidden="1"/>
    </xf>
    <xf numFmtId="0" fontId="23" fillId="53" borderId="66" xfId="0" applyFont="1" applyFill="1" applyBorder="1"/>
    <xf numFmtId="0" fontId="23" fillId="53" borderId="66" xfId="0" applyFont="1" applyFill="1" applyBorder="1" applyProtection="1">
      <protection hidden="1"/>
    </xf>
    <xf numFmtId="43" fontId="56" fillId="53" borderId="66" xfId="0" applyNumberFormat="1" applyFont="1" applyFill="1" applyBorder="1" applyAlignment="1" applyProtection="1">
      <alignment horizontal="center" vertical="center"/>
      <protection hidden="1"/>
    </xf>
    <xf numFmtId="174" fontId="57" fillId="53" borderId="66" xfId="0" applyNumberFormat="1" applyFont="1" applyFill="1" applyBorder="1" applyAlignment="1">
      <alignment horizontal="left"/>
    </xf>
    <xf numFmtId="0" fontId="31" fillId="82" borderId="115" xfId="0" applyFont="1" applyFill="1" applyBorder="1" applyAlignment="1" applyProtection="1">
      <alignment horizontal="center" vertical="center" wrapText="1"/>
      <protection hidden="1"/>
    </xf>
    <xf numFmtId="0" fontId="31" fillId="83" borderId="116" xfId="0" applyFont="1" applyFill="1" applyBorder="1" applyAlignment="1" applyProtection="1">
      <alignment horizontal="center" vertical="center" wrapText="1"/>
      <protection hidden="1"/>
    </xf>
    <xf numFmtId="169" fontId="23" fillId="0" borderId="47" xfId="0" applyNumberFormat="1" applyFont="1" applyBorder="1" applyProtection="1">
      <protection hidden="1"/>
    </xf>
    <xf numFmtId="0" fontId="31" fillId="84" borderId="117" xfId="0" applyFont="1" applyFill="1" applyBorder="1" applyAlignment="1" applyProtection="1">
      <alignment horizontal="center" vertical="center" wrapText="1"/>
      <protection hidden="1"/>
    </xf>
    <xf numFmtId="0" fontId="23" fillId="0" borderId="47" xfId="0" applyFont="1" applyBorder="1" applyAlignment="1" applyProtection="1">
      <alignment wrapText="1"/>
      <protection hidden="1"/>
    </xf>
    <xf numFmtId="166" fontId="63" fillId="85" borderId="118" xfId="31" applyFill="1" applyBorder="1" applyAlignment="1" applyProtection="1">
      <alignment horizontal="center" vertical="center" wrapText="1"/>
      <protection hidden="1"/>
    </xf>
    <xf numFmtId="166" fontId="11" fillId="86" borderId="119" xfId="31" applyFont="1" applyFill="1" applyBorder="1" applyAlignment="1" applyProtection="1">
      <alignment horizontal="center" vertical="center" wrapText="1"/>
      <protection hidden="1"/>
    </xf>
    <xf numFmtId="166" fontId="53" fillId="87" borderId="120" xfId="31" applyFont="1" applyFill="1" applyBorder="1" applyAlignment="1" applyProtection="1">
      <alignment horizontal="center" vertical="center" wrapText="1"/>
      <protection hidden="1"/>
    </xf>
    <xf numFmtId="166" fontId="53" fillId="88" borderId="121" xfId="31" applyFont="1" applyFill="1" applyBorder="1" applyAlignment="1" applyProtection="1">
      <alignment horizontal="center" vertical="center" wrapText="1"/>
      <protection hidden="1"/>
    </xf>
    <xf numFmtId="166" fontId="53" fillId="86" borderId="119" xfId="31" applyFont="1" applyFill="1" applyBorder="1" applyAlignment="1" applyProtection="1">
      <alignment horizontal="center" vertical="center" wrapText="1"/>
      <protection hidden="1"/>
    </xf>
    <xf numFmtId="166" fontId="11" fillId="89" borderId="122" xfId="31" applyFont="1" applyFill="1" applyBorder="1" applyAlignment="1" applyProtection="1">
      <alignment horizontal="center" vertical="center" wrapText="1"/>
      <protection hidden="1"/>
    </xf>
    <xf numFmtId="43" fontId="38" fillId="90" borderId="123" xfId="0" applyNumberFormat="1" applyFont="1" applyFill="1" applyBorder="1" applyAlignment="1" applyProtection="1">
      <alignment horizontal="center" vertical="center" wrapText="1"/>
      <protection locked="0"/>
    </xf>
    <xf numFmtId="166" fontId="11" fillId="91" borderId="125" xfId="31" applyFont="1" applyFill="1" applyBorder="1" applyAlignment="1" applyProtection="1">
      <alignment horizontal="center" vertical="center" wrapText="1"/>
      <protection hidden="1"/>
    </xf>
    <xf numFmtId="166" fontId="53" fillId="91" borderId="125" xfId="31" applyFont="1" applyFill="1" applyBorder="1" applyAlignment="1" applyProtection="1">
      <alignment horizontal="center" vertical="center" wrapText="1"/>
      <protection hidden="1"/>
    </xf>
    <xf numFmtId="166" fontId="11" fillId="92" borderId="126" xfId="31" applyFont="1" applyFill="1" applyBorder="1" applyAlignment="1" applyProtection="1">
      <alignment horizontal="center" vertical="center" wrapText="1"/>
      <protection hidden="1"/>
    </xf>
    <xf numFmtId="169" fontId="21" fillId="81" borderId="114" xfId="0" applyNumberFormat="1" applyFont="1" applyFill="1" applyBorder="1" applyAlignment="1" applyProtection="1">
      <alignment horizontal="center" vertical="center" wrapText="1"/>
      <protection hidden="1"/>
    </xf>
    <xf numFmtId="166" fontId="11" fillId="56" borderId="69" xfId="31" applyFont="1" applyFill="1" applyBorder="1" applyAlignment="1" applyProtection="1">
      <alignment horizontal="center" vertical="center" wrapText="1"/>
      <protection hidden="1"/>
    </xf>
    <xf numFmtId="174" fontId="21" fillId="45" borderId="58" xfId="0" applyNumberFormat="1" applyFont="1" applyFill="1" applyBorder="1" applyAlignment="1" applyProtection="1">
      <alignment horizontal="center" vertical="center" wrapText="1"/>
      <protection hidden="1"/>
    </xf>
    <xf numFmtId="2" fontId="63" fillId="93" borderId="127" xfId="36" applyNumberFormat="1" applyFill="1" applyBorder="1" applyAlignment="1" applyProtection="1">
      <alignment horizontal="right" vertical="center" wrapText="1"/>
      <protection hidden="1"/>
    </xf>
    <xf numFmtId="166" fontId="11" fillId="94" borderId="128" xfId="31" applyFont="1" applyFill="1" applyBorder="1" applyAlignment="1" applyProtection="1">
      <alignment horizontal="center" vertical="center" wrapText="1"/>
      <protection hidden="1"/>
    </xf>
    <xf numFmtId="166" fontId="63" fillId="95" borderId="129" xfId="31" applyFill="1" applyBorder="1" applyAlignment="1" applyProtection="1">
      <alignment horizontal="center" vertical="center" wrapText="1"/>
      <protection hidden="1"/>
    </xf>
    <xf numFmtId="172" fontId="63" fillId="53" borderId="66" xfId="36" applyNumberFormat="1" applyFill="1" applyBorder="1"/>
    <xf numFmtId="172" fontId="63" fillId="53" borderId="66" xfId="36" applyNumberFormat="1" applyFill="1" applyBorder="1" applyProtection="1">
      <protection hidden="1"/>
    </xf>
    <xf numFmtId="172" fontId="63" fillId="53" borderId="66" xfId="36" applyNumberFormat="1" applyFill="1" applyBorder="1" applyAlignment="1" applyProtection="1">
      <alignment horizontal="center" vertical="center"/>
      <protection hidden="1"/>
    </xf>
    <xf numFmtId="172" fontId="63" fillId="53" borderId="66" xfId="36" applyNumberFormat="1" applyFill="1" applyBorder="1" applyAlignment="1" applyProtection="1">
      <alignment horizontal="center" vertical="center" wrapText="1"/>
      <protection hidden="1"/>
    </xf>
    <xf numFmtId="0" fontId="21" fillId="64" borderId="77" xfId="0" applyFont="1" applyFill="1" applyBorder="1" applyAlignment="1" applyProtection="1">
      <alignment horizontal="center" vertical="center" wrapText="1"/>
      <protection hidden="1"/>
    </xf>
    <xf numFmtId="0" fontId="63" fillId="77" borderId="99" xfId="36" applyNumberFormat="1" applyFill="1" applyBorder="1" applyAlignment="1" applyProtection="1">
      <alignment horizontal="right" vertical="center" wrapText="1"/>
      <protection hidden="1"/>
    </xf>
    <xf numFmtId="0" fontId="21" fillId="53" borderId="66" xfId="0" applyFont="1" applyFill="1" applyBorder="1"/>
    <xf numFmtId="0" fontId="21" fillId="53" borderId="66" xfId="0" applyFont="1" applyFill="1" applyBorder="1" applyAlignment="1">
      <alignment horizontal="center"/>
    </xf>
    <xf numFmtId="0" fontId="21" fillId="53" borderId="66" xfId="0" applyFont="1" applyFill="1" applyBorder="1" applyProtection="1">
      <protection hidden="1"/>
    </xf>
    <xf numFmtId="0" fontId="21" fillId="53" borderId="66" xfId="0" applyFont="1" applyFill="1" applyBorder="1" applyAlignment="1" applyProtection="1">
      <alignment horizontal="center"/>
      <protection hidden="1"/>
    </xf>
    <xf numFmtId="0" fontId="28" fillId="53" borderId="66" xfId="0" applyFont="1" applyFill="1" applyBorder="1" applyProtection="1">
      <protection hidden="1"/>
    </xf>
    <xf numFmtId="166" fontId="21" fillId="53" borderId="66" xfId="31" applyFont="1" applyFill="1" applyBorder="1" applyProtection="1">
      <protection hidden="1"/>
    </xf>
    <xf numFmtId="0" fontId="21" fillId="53" borderId="66" xfId="0" applyFont="1" applyFill="1" applyBorder="1" applyAlignment="1" applyProtection="1">
      <alignment horizontal="right"/>
      <protection hidden="1"/>
    </xf>
    <xf numFmtId="166" fontId="21" fillId="53" borderId="66" xfId="31" applyFont="1" applyFill="1" applyBorder="1" applyAlignment="1" applyProtection="1">
      <alignment horizontal="center"/>
      <protection hidden="1"/>
    </xf>
    <xf numFmtId="0" fontId="28" fillId="96" borderId="130" xfId="0" applyFont="1" applyFill="1" applyBorder="1" applyAlignment="1" applyProtection="1">
      <alignment horizontal="center" vertical="center"/>
      <protection hidden="1"/>
    </xf>
    <xf numFmtId="0" fontId="28" fillId="97" borderId="131" xfId="0" applyFont="1" applyFill="1" applyBorder="1" applyAlignment="1" applyProtection="1">
      <alignment horizontal="center" vertical="center"/>
      <protection hidden="1"/>
    </xf>
    <xf numFmtId="49" fontId="37" fillId="98" borderId="132" xfId="0" applyNumberFormat="1" applyFont="1" applyFill="1" applyBorder="1" applyAlignment="1" applyProtection="1">
      <alignment horizontal="center" vertical="center" wrapText="1"/>
      <protection hidden="1"/>
    </xf>
    <xf numFmtId="0" fontId="37" fillId="98" borderId="132" xfId="0" applyFont="1" applyFill="1" applyBorder="1" applyAlignment="1" applyProtection="1">
      <alignment horizontal="center" vertical="center"/>
      <protection hidden="1"/>
    </xf>
    <xf numFmtId="0" fontId="28" fillId="97" borderId="131" xfId="0" applyFont="1" applyFill="1" applyBorder="1" applyAlignment="1" applyProtection="1">
      <alignment horizontal="center" vertical="center" wrapText="1"/>
      <protection hidden="1"/>
    </xf>
    <xf numFmtId="0" fontId="21" fillId="45" borderId="58" xfId="0" applyFont="1" applyFill="1" applyBorder="1" applyAlignment="1" applyProtection="1">
      <alignment horizontal="center"/>
      <protection hidden="1"/>
    </xf>
    <xf numFmtId="0" fontId="21" fillId="96" borderId="130" xfId="0" applyFont="1" applyFill="1" applyBorder="1" applyAlignment="1" applyProtection="1">
      <alignment horizontal="left"/>
      <protection hidden="1"/>
    </xf>
    <xf numFmtId="172" fontId="21" fillId="45" borderId="58" xfId="36" applyNumberFormat="1" applyFont="1" applyFill="1" applyBorder="1" applyAlignment="1" applyProtection="1">
      <alignment horizontal="right"/>
      <protection hidden="1"/>
    </xf>
    <xf numFmtId="171" fontId="21" fillId="46" borderId="59" xfId="36" applyFont="1" applyFill="1" applyBorder="1" applyAlignment="1" applyProtection="1">
      <alignment horizontal="center"/>
      <protection hidden="1"/>
    </xf>
    <xf numFmtId="171" fontId="21" fillId="45" borderId="58" xfId="36" applyFont="1" applyFill="1" applyBorder="1" applyAlignment="1" applyProtection="1">
      <alignment horizontal="center"/>
      <protection hidden="1"/>
    </xf>
    <xf numFmtId="4" fontId="21" fillId="46" borderId="59" xfId="36" applyNumberFormat="1" applyFont="1" applyFill="1" applyBorder="1" applyAlignment="1" applyProtection="1">
      <alignment horizontal="right"/>
      <protection hidden="1"/>
    </xf>
    <xf numFmtId="4" fontId="21" fillId="46" borderId="59" xfId="36" applyNumberFormat="1" applyFont="1" applyFill="1" applyBorder="1" applyProtection="1">
      <protection hidden="1"/>
    </xf>
    <xf numFmtId="4" fontId="21" fillId="51" borderId="64" xfId="36" applyNumberFormat="1" applyFont="1" applyFill="1" applyBorder="1" applyAlignment="1" applyProtection="1">
      <alignment horizontal="right"/>
      <protection hidden="1"/>
    </xf>
    <xf numFmtId="4" fontId="21" fillId="47" borderId="60" xfId="36" applyNumberFormat="1" applyFont="1" applyFill="1" applyBorder="1" applyAlignment="1" applyProtection="1">
      <alignment horizontal="center"/>
      <protection hidden="1"/>
    </xf>
    <xf numFmtId="4" fontId="21" fillId="46" borderId="59" xfId="36" applyNumberFormat="1" applyFont="1" applyFill="1" applyBorder="1" applyAlignment="1" applyProtection="1">
      <alignment horizontal="center" wrapText="1"/>
      <protection hidden="1"/>
    </xf>
    <xf numFmtId="0" fontId="38" fillId="53" borderId="66" xfId="0" applyFont="1" applyFill="1" applyBorder="1" applyProtection="1">
      <protection hidden="1"/>
    </xf>
    <xf numFmtId="172" fontId="21" fillId="96" borderId="130" xfId="36" applyNumberFormat="1" applyFont="1" applyFill="1" applyBorder="1" applyAlignment="1" applyProtection="1">
      <alignment horizontal="right"/>
      <protection hidden="1"/>
    </xf>
    <xf numFmtId="171" fontId="21" fillId="96" borderId="130" xfId="36" applyFont="1" applyFill="1" applyBorder="1" applyAlignment="1" applyProtection="1">
      <alignment horizontal="center"/>
      <protection hidden="1"/>
    </xf>
    <xf numFmtId="4" fontId="21" fillId="97" borderId="131" xfId="36" applyNumberFormat="1" applyFont="1" applyFill="1" applyBorder="1" applyAlignment="1" applyProtection="1">
      <alignment horizontal="center"/>
      <protection hidden="1"/>
    </xf>
    <xf numFmtId="4" fontId="21" fillId="99" borderId="133" xfId="36" applyNumberFormat="1" applyFont="1" applyFill="1" applyBorder="1" applyAlignment="1" applyProtection="1">
      <alignment horizontal="center"/>
      <protection hidden="1"/>
    </xf>
    <xf numFmtId="4" fontId="21" fillId="96" borderId="130" xfId="36" applyNumberFormat="1" applyFont="1" applyFill="1" applyBorder="1" applyProtection="1">
      <protection hidden="1"/>
    </xf>
    <xf numFmtId="4" fontId="21" fillId="100" borderId="134" xfId="36" applyNumberFormat="1" applyFont="1" applyFill="1" applyBorder="1" applyAlignment="1" applyProtection="1">
      <alignment horizontal="center"/>
      <protection hidden="1"/>
    </xf>
    <xf numFmtId="4" fontId="21" fillId="96" borderId="130" xfId="36" applyNumberFormat="1" applyFont="1" applyFill="1" applyBorder="1" applyAlignment="1" applyProtection="1">
      <alignment horizontal="right"/>
      <protection hidden="1"/>
    </xf>
    <xf numFmtId="169" fontId="30" fillId="97" borderId="131" xfId="36" applyNumberFormat="1" applyFont="1" applyFill="1" applyBorder="1" applyAlignment="1" applyProtection="1">
      <alignment horizontal="right"/>
      <protection hidden="1"/>
    </xf>
    <xf numFmtId="0" fontId="21" fillId="101" borderId="135" xfId="0" applyFont="1" applyFill="1" applyBorder="1" applyProtection="1">
      <protection hidden="1"/>
    </xf>
    <xf numFmtId="0" fontId="21" fillId="102" borderId="136" xfId="0" applyFont="1" applyFill="1" applyBorder="1" applyProtection="1">
      <protection hidden="1"/>
    </xf>
    <xf numFmtId="0" fontId="21" fillId="103" borderId="137" xfId="0" applyFont="1" applyFill="1" applyBorder="1" applyProtection="1">
      <protection hidden="1"/>
    </xf>
    <xf numFmtId="0" fontId="21" fillId="104" borderId="138" xfId="0" applyFont="1" applyFill="1" applyBorder="1" applyProtection="1">
      <protection hidden="1"/>
    </xf>
    <xf numFmtId="0" fontId="21" fillId="105" borderId="139" xfId="0" applyFont="1" applyFill="1" applyBorder="1" applyAlignment="1" applyProtection="1">
      <alignment horizontal="center"/>
      <protection hidden="1"/>
    </xf>
    <xf numFmtId="0" fontId="21" fillId="106" borderId="140" xfId="0" applyFont="1" applyFill="1" applyBorder="1" applyAlignment="1" applyProtection="1">
      <alignment horizontal="center"/>
      <protection hidden="1"/>
    </xf>
    <xf numFmtId="0" fontId="26" fillId="53" borderId="66" xfId="0" applyFont="1" applyFill="1" applyBorder="1" applyAlignment="1" applyProtection="1">
      <alignment horizontal="center"/>
      <protection hidden="1"/>
    </xf>
    <xf numFmtId="0" fontId="35" fillId="98" borderId="132" xfId="0" applyFont="1" applyFill="1" applyBorder="1" applyAlignment="1" applyProtection="1">
      <alignment horizontal="center" vertical="center"/>
      <protection hidden="1"/>
    </xf>
    <xf numFmtId="0" fontId="21" fillId="97" borderId="131" xfId="0" applyFont="1" applyFill="1" applyBorder="1" applyAlignment="1" applyProtection="1">
      <alignment horizontal="left"/>
      <protection hidden="1"/>
    </xf>
    <xf numFmtId="172" fontId="21" fillId="46" borderId="59" xfId="36" applyNumberFormat="1" applyFont="1" applyFill="1" applyBorder="1" applyAlignment="1" applyProtection="1">
      <alignment horizontal="right"/>
      <protection hidden="1"/>
    </xf>
    <xf numFmtId="171" fontId="21" fillId="46" borderId="59" xfId="36" applyFont="1" applyFill="1" applyBorder="1" applyAlignment="1" applyProtection="1">
      <alignment horizontal="right"/>
      <protection hidden="1"/>
    </xf>
    <xf numFmtId="171" fontId="21" fillId="46" borderId="59" xfId="36" applyFont="1" applyFill="1" applyBorder="1" applyProtection="1">
      <protection hidden="1"/>
    </xf>
    <xf numFmtId="171" fontId="21" fillId="46" borderId="59" xfId="36" applyFont="1" applyFill="1" applyBorder="1" applyAlignment="1" applyProtection="1">
      <alignment horizontal="center" wrapText="1"/>
      <protection hidden="1"/>
    </xf>
    <xf numFmtId="171" fontId="30" fillId="97" borderId="131" xfId="36" applyFont="1" applyFill="1" applyBorder="1" applyAlignment="1" applyProtection="1">
      <alignment horizontal="right"/>
      <protection hidden="1"/>
    </xf>
    <xf numFmtId="0" fontId="21" fillId="101" borderId="135" xfId="0" applyFont="1" applyFill="1" applyBorder="1" applyProtection="1">
      <protection locked="0"/>
    </xf>
    <xf numFmtId="0" fontId="21" fillId="102" borderId="136" xfId="0" applyFont="1" applyFill="1" applyBorder="1" applyProtection="1">
      <protection locked="0"/>
    </xf>
    <xf numFmtId="0" fontId="21" fillId="103" borderId="137" xfId="0" applyFont="1" applyFill="1" applyBorder="1" applyProtection="1">
      <protection locked="0"/>
    </xf>
    <xf numFmtId="0" fontId="21" fillId="104" borderId="138" xfId="0" applyFont="1" applyFill="1" applyBorder="1" applyProtection="1">
      <protection locked="0"/>
    </xf>
    <xf numFmtId="0" fontId="21" fillId="105" borderId="139" xfId="0" applyFont="1" applyFill="1" applyBorder="1" applyAlignment="1" applyProtection="1">
      <alignment horizontal="center"/>
      <protection locked="0"/>
    </xf>
    <xf numFmtId="0" fontId="21" fillId="106" borderId="140" xfId="0" applyFont="1" applyFill="1" applyBorder="1" applyAlignment="1" applyProtection="1">
      <alignment horizontal="center"/>
      <protection locked="0"/>
    </xf>
    <xf numFmtId="0" fontId="21" fillId="53" borderId="66" xfId="0" applyFont="1" applyFill="1" applyBorder="1" applyAlignment="1" applyProtection="1">
      <alignment horizontal="center"/>
      <protection locked="0"/>
    </xf>
    <xf numFmtId="0" fontId="21" fillId="53" borderId="66" xfId="0" applyFont="1" applyFill="1" applyBorder="1" applyProtection="1">
      <protection locked="0"/>
    </xf>
    <xf numFmtId="0" fontId="28" fillId="53" borderId="66" xfId="0" applyFont="1" applyFill="1" applyBorder="1" applyProtection="1">
      <protection locked="0"/>
    </xf>
    <xf numFmtId="166" fontId="21" fillId="53" borderId="66" xfId="31" applyFont="1" applyFill="1" applyBorder="1" applyProtection="1">
      <protection locked="0"/>
    </xf>
    <xf numFmtId="0" fontId="21" fillId="53" borderId="66" xfId="0" applyFont="1" applyFill="1" applyBorder="1" applyAlignment="1" applyProtection="1">
      <alignment horizontal="right"/>
      <protection locked="0"/>
    </xf>
    <xf numFmtId="166" fontId="21" fillId="53" borderId="66" xfId="31" applyFont="1" applyFill="1" applyBorder="1" applyAlignment="1" applyProtection="1">
      <alignment horizontal="center"/>
      <protection locked="0"/>
    </xf>
    <xf numFmtId="0" fontId="28" fillId="107" borderId="141" xfId="0" applyFont="1" applyFill="1" applyBorder="1" applyAlignment="1" applyProtection="1">
      <alignment horizontal="center" vertical="center"/>
      <protection locked="0"/>
    </xf>
    <xf numFmtId="0" fontId="28" fillId="108" borderId="142" xfId="0" applyFont="1" applyFill="1" applyBorder="1" applyAlignment="1" applyProtection="1">
      <alignment horizontal="center" vertical="center"/>
      <protection locked="0"/>
    </xf>
    <xf numFmtId="0" fontId="28" fillId="96" borderId="130" xfId="0" applyFont="1" applyFill="1" applyBorder="1" applyAlignment="1" applyProtection="1">
      <alignment horizontal="center" vertical="center"/>
      <protection locked="0"/>
    </xf>
    <xf numFmtId="0" fontId="28" fillId="97" borderId="131" xfId="0" applyFont="1" applyFill="1" applyBorder="1" applyAlignment="1" applyProtection="1">
      <alignment horizontal="center" vertical="center"/>
      <protection locked="0"/>
    </xf>
    <xf numFmtId="0" fontId="28" fillId="98" borderId="132" xfId="0" applyFont="1" applyFill="1" applyBorder="1" applyAlignment="1" applyProtection="1">
      <alignment horizontal="center" vertical="center"/>
      <protection locked="0"/>
    </xf>
    <xf numFmtId="0" fontId="28" fillId="97" borderId="131" xfId="0" applyFont="1" applyFill="1" applyBorder="1" applyAlignment="1" applyProtection="1">
      <alignment horizontal="center" vertical="center" wrapText="1"/>
      <protection locked="0"/>
    </xf>
    <xf numFmtId="171" fontId="21" fillId="60" borderId="73" xfId="36" applyFont="1" applyFill="1" applyBorder="1" applyAlignment="1" applyProtection="1">
      <alignment horizontal="right"/>
      <protection hidden="1"/>
    </xf>
    <xf numFmtId="171" fontId="21" fillId="51" borderId="64" xfId="36" applyFont="1" applyFill="1" applyBorder="1" applyAlignment="1" applyProtection="1">
      <alignment horizontal="right"/>
      <protection hidden="1"/>
    </xf>
    <xf numFmtId="171" fontId="21" fillId="47" borderId="60" xfId="36" applyFont="1" applyFill="1" applyBorder="1" applyAlignment="1" applyProtection="1">
      <alignment horizontal="center"/>
      <protection hidden="1"/>
    </xf>
    <xf numFmtId="4" fontId="21" fillId="46" borderId="59" xfId="0" applyNumberFormat="1" applyFont="1" applyFill="1" applyBorder="1" applyProtection="1">
      <protection hidden="1"/>
    </xf>
    <xf numFmtId="4" fontId="21" fillId="46" borderId="59" xfId="0" applyNumberFormat="1" applyFont="1" applyFill="1" applyBorder="1" applyAlignment="1" applyProtection="1">
      <alignment horizontal="right"/>
      <protection hidden="1"/>
    </xf>
    <xf numFmtId="4" fontId="28" fillId="67" borderId="82" xfId="0" applyNumberFormat="1" applyFont="1" applyFill="1" applyBorder="1" applyAlignment="1" applyProtection="1">
      <alignment horizontal="right"/>
      <protection hidden="1"/>
    </xf>
    <xf numFmtId="0" fontId="59" fillId="0" borderId="0" xfId="0" applyFont="1" applyAlignment="1">
      <alignment horizontal="center"/>
    </xf>
    <xf numFmtId="0" fontId="56" fillId="75" borderId="93" xfId="0" applyFont="1" applyFill="1" applyBorder="1" applyAlignment="1" applyProtection="1">
      <alignment horizontal="left" vertical="center"/>
      <protection hidden="1"/>
    </xf>
    <xf numFmtId="171" fontId="63" fillId="77" borderId="99" xfId="36" applyFill="1" applyBorder="1" applyAlignment="1" applyProtection="1">
      <alignment horizontal="right" vertical="center" wrapText="1"/>
      <protection hidden="1"/>
    </xf>
    <xf numFmtId="0" fontId="60" fillId="53" borderId="66" xfId="0" applyFont="1" applyFill="1" applyBorder="1"/>
    <xf numFmtId="0" fontId="60" fillId="53" borderId="66" xfId="0" applyFont="1" applyFill="1" applyBorder="1" applyProtection="1">
      <protection hidden="1"/>
    </xf>
    <xf numFmtId="0" fontId="46" fillId="53" borderId="66" xfId="0" applyFont="1" applyFill="1" applyBorder="1" applyProtection="1">
      <protection hidden="1"/>
    </xf>
    <xf numFmtId="0" fontId="61" fillId="64" borderId="77" xfId="0" applyFont="1" applyFill="1" applyBorder="1" applyAlignment="1" applyProtection="1">
      <alignment wrapText="1"/>
      <protection hidden="1"/>
    </xf>
    <xf numFmtId="0" fontId="60" fillId="0" borderId="0" xfId="0" applyFont="1"/>
    <xf numFmtId="0" fontId="21" fillId="61" borderId="74" xfId="0" applyFont="1" applyFill="1" applyBorder="1" applyAlignment="1" applyProtection="1">
      <alignment horizontal="center" vertical="center" wrapText="1"/>
      <protection hidden="1"/>
    </xf>
    <xf numFmtId="166" fontId="11" fillId="109" borderId="143" xfId="31" applyFont="1" applyFill="1" applyBorder="1" applyAlignment="1" applyProtection="1">
      <alignment horizontal="center" vertical="center" wrapText="1"/>
      <protection hidden="1"/>
    </xf>
    <xf numFmtId="166" fontId="11" fillId="110" borderId="144" xfId="31" applyFont="1" applyFill="1" applyBorder="1" applyAlignment="1" applyProtection="1">
      <alignment horizontal="center" vertical="center" wrapText="1"/>
      <protection hidden="1"/>
    </xf>
    <xf numFmtId="4" fontId="60" fillId="53" borderId="66" xfId="0" applyNumberFormat="1" applyFont="1" applyFill="1" applyBorder="1" applyProtection="1">
      <protection hidden="1"/>
    </xf>
    <xf numFmtId="0" fontId="60" fillId="0" borderId="0" xfId="0" applyFont="1" applyProtection="1">
      <protection hidden="1"/>
    </xf>
    <xf numFmtId="0" fontId="2" fillId="53" borderId="66" xfId="0" applyFont="1" applyFill="1" applyBorder="1"/>
    <xf numFmtId="0" fontId="62" fillId="0" borderId="0" xfId="0" applyFont="1" applyProtection="1">
      <protection hidden="1"/>
    </xf>
    <xf numFmtId="0" fontId="36" fillId="0" borderId="0" xfId="0" applyFont="1" applyProtection="1">
      <protection hidden="1"/>
    </xf>
    <xf numFmtId="171" fontId="63" fillId="113" borderId="150" xfId="36" applyFill="1" applyBorder="1"/>
    <xf numFmtId="171" fontId="63" fillId="114" borderId="151" xfId="36" applyFill="1" applyBorder="1"/>
    <xf numFmtId="2" fontId="21" fillId="46" borderId="59" xfId="36" applyNumberFormat="1" applyFont="1" applyFill="1" applyBorder="1" applyAlignment="1" applyProtection="1">
      <alignment horizontal="center"/>
      <protection hidden="1"/>
    </xf>
    <xf numFmtId="176" fontId="21" fillId="46" borderId="59" xfId="36" applyNumberFormat="1" applyFont="1" applyFill="1" applyBorder="1" applyAlignment="1" applyProtection="1">
      <alignment horizontal="center"/>
      <protection hidden="1"/>
    </xf>
    <xf numFmtId="0" fontId="21" fillId="111" borderId="95" xfId="0" applyFont="1" applyFill="1" applyBorder="1" applyAlignment="1" applyProtection="1">
      <alignment horizontal="left" vertical="center" wrapText="1"/>
      <protection hidden="1"/>
    </xf>
    <xf numFmtId="174" fontId="21" fillId="129" borderId="59" xfId="0" applyNumberFormat="1" applyFont="1" applyFill="1" applyBorder="1" applyAlignment="1" applyProtection="1">
      <alignment horizontal="center" vertical="center" wrapText="1"/>
      <protection hidden="1"/>
    </xf>
    <xf numFmtId="0" fontId="21" fillId="129" borderId="59" xfId="0" applyFont="1" applyFill="1" applyBorder="1" applyAlignment="1" applyProtection="1">
      <alignment horizontal="center" vertical="center" wrapText="1"/>
      <protection hidden="1"/>
    </xf>
    <xf numFmtId="3" fontId="21" fillId="129" borderId="59" xfId="0" applyNumberFormat="1" applyFont="1" applyFill="1" applyBorder="1" applyAlignment="1" applyProtection="1">
      <alignment horizontal="center" vertical="center" wrapText="1"/>
      <protection hidden="1"/>
    </xf>
    <xf numFmtId="166" fontId="11" fillId="111" borderId="83" xfId="31" applyFont="1" applyFill="1" applyBorder="1" applyAlignment="1" applyProtection="1">
      <alignment horizontal="center" vertical="center" wrapText="1"/>
      <protection hidden="1"/>
    </xf>
    <xf numFmtId="166" fontId="11" fillId="111" borderId="128" xfId="31" applyFont="1" applyFill="1" applyBorder="1" applyAlignment="1" applyProtection="1">
      <alignment horizontal="center" vertical="center" wrapText="1"/>
      <protection hidden="1"/>
    </xf>
    <xf numFmtId="0" fontId="21" fillId="45" borderId="149" xfId="0" applyFont="1" applyFill="1" applyBorder="1" applyAlignment="1" applyProtection="1">
      <alignment horizontal="center" vertical="center" wrapText="1"/>
      <protection hidden="1"/>
    </xf>
    <xf numFmtId="0" fontId="21" fillId="46" borderId="167" xfId="0" applyFont="1" applyFill="1" applyBorder="1" applyAlignment="1" applyProtection="1">
      <alignment horizontal="center" vertical="center" wrapText="1"/>
      <protection hidden="1"/>
    </xf>
    <xf numFmtId="0" fontId="44" fillId="0" borderId="159" xfId="0" applyFont="1" applyBorder="1" applyAlignment="1" applyProtection="1">
      <alignment horizontal="center" vertical="center" wrapText="1"/>
      <protection locked="0"/>
    </xf>
    <xf numFmtId="174" fontId="21" fillId="46" borderId="161" xfId="0" applyNumberFormat="1" applyFont="1" applyFill="1" applyBorder="1" applyAlignment="1" applyProtection="1">
      <alignment horizontal="center" vertical="center" wrapText="1"/>
      <protection hidden="1"/>
    </xf>
    <xf numFmtId="0" fontId="21" fillId="46" borderId="161" xfId="0" applyFont="1" applyFill="1" applyBorder="1" applyAlignment="1" applyProtection="1">
      <alignment horizontal="center" vertical="center" wrapText="1"/>
      <protection hidden="1"/>
    </xf>
    <xf numFmtId="174" fontId="21" fillId="46" borderId="169" xfId="0" applyNumberFormat="1" applyFont="1" applyFill="1" applyBorder="1" applyAlignment="1" applyProtection="1">
      <alignment horizontal="center" vertical="center" wrapText="1"/>
      <protection hidden="1"/>
    </xf>
    <xf numFmtId="0" fontId="21" fillId="46" borderId="169" xfId="0" applyFont="1" applyFill="1" applyBorder="1" applyAlignment="1" applyProtection="1">
      <alignment horizontal="center" vertical="center" wrapText="1"/>
      <protection hidden="1"/>
    </xf>
    <xf numFmtId="0" fontId="44" fillId="0" borderId="169" xfId="0" applyFont="1" applyBorder="1" applyAlignment="1" applyProtection="1">
      <alignment horizontal="center" vertical="center" wrapText="1"/>
      <protection locked="0"/>
    </xf>
    <xf numFmtId="0" fontId="44" fillId="0" borderId="170" xfId="0" applyFont="1" applyBorder="1" applyAlignment="1" applyProtection="1">
      <alignment horizontal="center" vertical="center" wrapText="1"/>
      <protection locked="0"/>
    </xf>
    <xf numFmtId="0" fontId="44" fillId="0" borderId="171" xfId="0" applyFont="1" applyBorder="1" applyAlignment="1" applyProtection="1">
      <alignment horizontal="center" vertical="center" wrapText="1"/>
      <protection locked="0"/>
    </xf>
    <xf numFmtId="0" fontId="21" fillId="46" borderId="148" xfId="0" applyFont="1" applyFill="1" applyBorder="1" applyAlignment="1" applyProtection="1">
      <alignment horizontal="center" vertical="center" wrapText="1"/>
      <protection hidden="1"/>
    </xf>
    <xf numFmtId="3" fontId="21" fillId="46" borderId="161" xfId="0" applyNumberFormat="1" applyFont="1" applyFill="1" applyBorder="1" applyAlignment="1" applyProtection="1">
      <alignment horizontal="center" vertical="center" wrapText="1"/>
      <protection hidden="1"/>
    </xf>
    <xf numFmtId="170" fontId="21" fillId="46" borderId="161" xfId="0" applyNumberFormat="1" applyFont="1" applyFill="1" applyBorder="1" applyAlignment="1" applyProtection="1">
      <alignment horizontal="center" vertical="center" wrapText="1"/>
      <protection hidden="1"/>
    </xf>
    <xf numFmtId="3" fontId="21" fillId="46" borderId="148" xfId="0" applyNumberFormat="1" applyFont="1" applyFill="1" applyBorder="1" applyAlignment="1" applyProtection="1">
      <alignment horizontal="center" vertical="center" wrapText="1"/>
      <protection hidden="1"/>
    </xf>
    <xf numFmtId="170" fontId="21" fillId="46" borderId="148" xfId="0" applyNumberFormat="1" applyFont="1" applyFill="1" applyBorder="1" applyAlignment="1" applyProtection="1">
      <alignment horizontal="center" vertical="center" wrapText="1"/>
      <protection hidden="1"/>
    </xf>
    <xf numFmtId="2" fontId="63" fillId="77" borderId="168" xfId="36" applyNumberFormat="1" applyFill="1" applyBorder="1" applyAlignment="1" applyProtection="1">
      <alignment horizontal="right" vertical="center" wrapText="1"/>
      <protection hidden="1"/>
    </xf>
    <xf numFmtId="166" fontId="63" fillId="55" borderId="63" xfId="31" applyFill="1" applyBorder="1" applyAlignment="1" applyProtection="1">
      <alignment horizontal="center" vertical="center" wrapText="1"/>
      <protection hidden="1"/>
    </xf>
    <xf numFmtId="166" fontId="11" fillId="110" borderId="166" xfId="31" applyFont="1" applyFill="1" applyBorder="1" applyAlignment="1" applyProtection="1">
      <alignment horizontal="center" vertical="center" wrapText="1"/>
      <protection hidden="1"/>
    </xf>
    <xf numFmtId="166" fontId="63" fillId="39" borderId="142" xfId="31" applyFill="1" applyBorder="1" applyAlignment="1" applyProtection="1">
      <alignment horizontal="center" vertical="center" wrapText="1"/>
      <protection hidden="1"/>
    </xf>
    <xf numFmtId="166" fontId="53" fillId="87" borderId="142" xfId="31" applyFont="1" applyFill="1" applyBorder="1" applyAlignment="1" applyProtection="1">
      <alignment horizontal="center" vertical="center" wrapText="1"/>
      <protection hidden="1"/>
    </xf>
    <xf numFmtId="166" fontId="53" fillId="88" borderId="172" xfId="31" applyFont="1" applyFill="1" applyBorder="1" applyAlignment="1" applyProtection="1">
      <alignment horizontal="center" vertical="center" wrapText="1"/>
      <protection hidden="1"/>
    </xf>
    <xf numFmtId="166" fontId="63" fillId="0" borderId="161" xfId="31" applyBorder="1" applyAlignment="1" applyProtection="1">
      <alignment horizontal="center" vertical="center" wrapText="1"/>
      <protection hidden="1"/>
    </xf>
    <xf numFmtId="166" fontId="63" fillId="79" borderId="141" xfId="31" applyFill="1" applyBorder="1" applyAlignment="1" applyProtection="1">
      <alignment horizontal="center" vertical="center" wrapText="1"/>
      <protection hidden="1"/>
    </xf>
    <xf numFmtId="166" fontId="63" fillId="85" borderId="141" xfId="31" applyFill="1" applyBorder="1" applyAlignment="1" applyProtection="1">
      <alignment horizontal="center" vertical="center" wrapText="1"/>
      <protection hidden="1"/>
    </xf>
    <xf numFmtId="166" fontId="53" fillId="0" borderId="166" xfId="31" applyFont="1" applyBorder="1" applyAlignment="1" applyProtection="1">
      <alignment horizontal="center" vertical="center" wrapText="1"/>
      <protection hidden="1"/>
    </xf>
    <xf numFmtId="166" fontId="63" fillId="0" borderId="166" xfId="31" applyBorder="1" applyAlignment="1" applyProtection="1">
      <alignment horizontal="center" vertical="center" wrapText="1"/>
      <protection hidden="1"/>
    </xf>
    <xf numFmtId="166" fontId="63" fillId="0" borderId="88" xfId="31" applyBorder="1" applyAlignment="1" applyProtection="1">
      <alignment horizontal="center" vertical="center" wrapText="1"/>
      <protection hidden="1"/>
    </xf>
    <xf numFmtId="43" fontId="38" fillId="90" borderId="161" xfId="0" applyNumberFormat="1" applyFont="1" applyFill="1" applyBorder="1" applyAlignment="1" applyProtection="1">
      <alignment horizontal="center" vertical="center" wrapText="1"/>
      <protection locked="0"/>
    </xf>
    <xf numFmtId="166" fontId="63" fillId="55" borderId="149" xfId="31" applyFill="1" applyBorder="1" applyAlignment="1" applyProtection="1">
      <alignment horizontal="center" vertical="center" wrapText="1"/>
      <protection hidden="1"/>
    </xf>
    <xf numFmtId="166" fontId="63" fillId="57" borderId="134" xfId="31" applyFill="1" applyBorder="1" applyAlignment="1" applyProtection="1">
      <alignment horizontal="center" vertical="center" wrapText="1"/>
      <protection hidden="1"/>
    </xf>
    <xf numFmtId="166" fontId="63" fillId="39" borderId="148" xfId="31" applyFill="1" applyBorder="1" applyAlignment="1" applyProtection="1">
      <alignment horizontal="center" vertical="center" wrapText="1"/>
      <protection hidden="1"/>
    </xf>
    <xf numFmtId="166" fontId="53" fillId="87" borderId="148" xfId="31" applyFont="1" applyFill="1" applyBorder="1" applyAlignment="1" applyProtection="1">
      <alignment horizontal="center" vertical="center" wrapText="1"/>
      <protection hidden="1"/>
    </xf>
    <xf numFmtId="166" fontId="63" fillId="68" borderId="148" xfId="31" applyFill="1" applyBorder="1" applyAlignment="1" applyProtection="1">
      <alignment horizontal="center" vertical="center" wrapText="1"/>
      <protection hidden="1"/>
    </xf>
    <xf numFmtId="166" fontId="63" fillId="0" borderId="148" xfId="31" applyBorder="1" applyAlignment="1" applyProtection="1">
      <alignment horizontal="center" vertical="center" wrapText="1"/>
      <protection hidden="1"/>
    </xf>
    <xf numFmtId="166" fontId="63" fillId="79" borderId="134" xfId="31" applyFill="1" applyBorder="1" applyAlignment="1" applyProtection="1">
      <alignment horizontal="center" vertical="center" wrapText="1"/>
      <protection hidden="1"/>
    </xf>
    <xf numFmtId="166" fontId="63" fillId="85" borderId="134" xfId="31" applyFill="1" applyBorder="1" applyAlignment="1" applyProtection="1">
      <alignment horizontal="center" vertical="center" wrapText="1"/>
      <protection hidden="1"/>
    </xf>
    <xf numFmtId="166" fontId="53" fillId="0" borderId="134" xfId="31" applyFont="1" applyBorder="1" applyAlignment="1" applyProtection="1">
      <alignment horizontal="center" vertical="center" wrapText="1"/>
      <protection hidden="1"/>
    </xf>
    <xf numFmtId="166" fontId="63" fillId="0" borderId="134" xfId="31" applyBorder="1" applyAlignment="1" applyProtection="1">
      <alignment horizontal="center" vertical="center" wrapText="1"/>
      <protection hidden="1"/>
    </xf>
    <xf numFmtId="166" fontId="63" fillId="0" borderId="149" xfId="31" applyBorder="1" applyAlignment="1" applyProtection="1">
      <alignment horizontal="center" vertical="center" wrapText="1"/>
      <protection hidden="1"/>
    </xf>
    <xf numFmtId="43" fontId="38" fillId="90" borderId="148" xfId="0" applyNumberFormat="1" applyFont="1" applyFill="1" applyBorder="1" applyAlignment="1" applyProtection="1">
      <alignment horizontal="center" vertical="center" wrapText="1"/>
      <protection locked="0"/>
    </xf>
    <xf numFmtId="166" fontId="63" fillId="55" borderId="169" xfId="31" applyFill="1" applyBorder="1" applyAlignment="1" applyProtection="1">
      <alignment horizontal="center" vertical="center" wrapText="1"/>
      <protection hidden="1"/>
    </xf>
    <xf numFmtId="166" fontId="63" fillId="57" borderId="169" xfId="31" applyFill="1" applyBorder="1" applyAlignment="1" applyProtection="1">
      <alignment horizontal="center" vertical="center" wrapText="1"/>
      <protection hidden="1"/>
    </xf>
    <xf numFmtId="166" fontId="63" fillId="39" borderId="169" xfId="31" applyFill="1" applyBorder="1" applyAlignment="1" applyProtection="1">
      <alignment horizontal="center" vertical="center" wrapText="1"/>
      <protection hidden="1"/>
    </xf>
    <xf numFmtId="166" fontId="53" fillId="87" borderId="169" xfId="31" applyFont="1" applyFill="1" applyBorder="1" applyAlignment="1" applyProtection="1">
      <alignment horizontal="center" vertical="center" wrapText="1"/>
      <protection hidden="1"/>
    </xf>
    <xf numFmtId="166" fontId="53" fillId="88" borderId="169" xfId="31" applyFont="1" applyFill="1" applyBorder="1" applyAlignment="1" applyProtection="1">
      <alignment horizontal="center" vertical="center" wrapText="1"/>
      <protection hidden="1"/>
    </xf>
    <xf numFmtId="166" fontId="63" fillId="68" borderId="169" xfId="31" applyFill="1" applyBorder="1" applyAlignment="1" applyProtection="1">
      <alignment horizontal="center" vertical="center" wrapText="1"/>
      <protection hidden="1"/>
    </xf>
    <xf numFmtId="166" fontId="63" fillId="0" borderId="169" xfId="31" applyBorder="1" applyAlignment="1" applyProtection="1">
      <alignment horizontal="center" vertical="center" wrapText="1"/>
      <protection hidden="1"/>
    </xf>
    <xf numFmtId="166" fontId="63" fillId="79" borderId="169" xfId="31" applyFill="1" applyBorder="1" applyAlignment="1" applyProtection="1">
      <alignment horizontal="center" vertical="center" wrapText="1"/>
      <protection hidden="1"/>
    </xf>
    <xf numFmtId="166" fontId="63" fillId="85" borderId="169" xfId="31" applyFill="1" applyBorder="1" applyAlignment="1" applyProtection="1">
      <alignment horizontal="center" vertical="center" wrapText="1"/>
      <protection hidden="1"/>
    </xf>
    <xf numFmtId="166" fontId="53" fillId="0" borderId="169" xfId="31" applyFont="1" applyBorder="1" applyAlignment="1" applyProtection="1">
      <alignment horizontal="center" vertical="center" wrapText="1"/>
      <protection hidden="1"/>
    </xf>
    <xf numFmtId="43" fontId="38" fillId="90" borderId="169" xfId="0" applyNumberFormat="1" applyFont="1" applyFill="1" applyBorder="1" applyAlignment="1" applyProtection="1">
      <alignment horizontal="center" vertical="center" wrapText="1"/>
      <protection locked="0"/>
    </xf>
    <xf numFmtId="0" fontId="23" fillId="130" borderId="0" xfId="0" applyFont="1" applyFill="1" applyAlignment="1" applyProtection="1">
      <alignment horizontal="center" vertical="center" wrapText="1"/>
      <protection locked="0"/>
    </xf>
    <xf numFmtId="0" fontId="38" fillId="129" borderId="124" xfId="0" applyFont="1" applyFill="1" applyBorder="1" applyAlignment="1" applyProtection="1">
      <alignment horizontal="center" vertical="center" wrapText="1"/>
      <protection locked="0"/>
    </xf>
    <xf numFmtId="0" fontId="21" fillId="130" borderId="0" xfId="0" applyFont="1" applyFill="1" applyAlignment="1" applyProtection="1">
      <alignment horizontal="center" vertical="center" wrapText="1"/>
      <protection locked="0"/>
    </xf>
    <xf numFmtId="0" fontId="38" fillId="130" borderId="0" xfId="0" applyFont="1" applyFill="1" applyAlignment="1" applyProtection="1">
      <alignment horizontal="center" vertical="center" wrapText="1"/>
      <protection locked="0"/>
    </xf>
    <xf numFmtId="0" fontId="38" fillId="129" borderId="66" xfId="0" applyFont="1" applyFill="1" applyBorder="1" applyAlignment="1" applyProtection="1">
      <alignment horizontal="center" vertical="center" wrapText="1"/>
      <protection locked="0"/>
    </xf>
    <xf numFmtId="0" fontId="28" fillId="129" borderId="66" xfId="0" applyFont="1" applyFill="1" applyBorder="1" applyAlignment="1" applyProtection="1">
      <alignment horizontal="center" vertical="center" wrapText="1"/>
      <protection locked="0"/>
    </xf>
    <xf numFmtId="171" fontId="63" fillId="129" borderId="77" xfId="36" applyFill="1" applyBorder="1" applyAlignment="1" applyProtection="1">
      <alignment horizontal="center" vertical="center" wrapText="1"/>
      <protection locked="0"/>
    </xf>
    <xf numFmtId="0" fontId="38" fillId="129" borderId="77" xfId="0" applyFont="1" applyFill="1" applyBorder="1" applyAlignment="1" applyProtection="1">
      <alignment horizontal="center" vertical="center" wrapText="1"/>
      <protection locked="0"/>
    </xf>
    <xf numFmtId="0" fontId="44" fillId="130" borderId="0" xfId="0" applyFont="1" applyFill="1" applyAlignment="1" applyProtection="1">
      <alignment horizontal="center" vertical="center" wrapText="1"/>
      <protection locked="0"/>
    </xf>
    <xf numFmtId="0" fontId="44" fillId="129" borderId="66" xfId="0" applyFont="1" applyFill="1" applyBorder="1" applyAlignment="1" applyProtection="1">
      <alignment horizontal="center" vertical="center" wrapText="1"/>
      <protection locked="0"/>
    </xf>
    <xf numFmtId="0" fontId="44" fillId="129" borderId="78" xfId="0" applyFont="1" applyFill="1" applyBorder="1" applyAlignment="1" applyProtection="1">
      <alignment horizontal="center" vertical="center" wrapText="1"/>
      <protection locked="0"/>
    </xf>
    <xf numFmtId="0" fontId="44" fillId="129" borderId="77" xfId="0" applyFont="1" applyFill="1" applyBorder="1" applyAlignment="1" applyProtection="1">
      <alignment horizontal="center" vertical="center" wrapText="1"/>
      <protection locked="0"/>
    </xf>
    <xf numFmtId="0" fontId="31" fillId="129" borderId="66" xfId="0" applyFont="1" applyFill="1" applyBorder="1" applyAlignment="1" applyProtection="1">
      <alignment horizontal="center" vertical="center" wrapText="1"/>
      <protection locked="0"/>
    </xf>
    <xf numFmtId="0" fontId="44" fillId="129" borderId="81" xfId="0" applyFont="1" applyFill="1" applyBorder="1" applyAlignment="1" applyProtection="1">
      <alignment horizontal="center" vertical="center" wrapText="1"/>
      <protection locked="0"/>
    </xf>
    <xf numFmtId="0" fontId="21" fillId="46" borderId="147" xfId="0" applyFont="1" applyFill="1" applyBorder="1" applyAlignment="1" applyProtection="1">
      <alignment horizontal="center"/>
      <protection hidden="1"/>
    </xf>
    <xf numFmtId="0" fontId="2" fillId="53" borderId="159" xfId="0" applyFont="1" applyFill="1" applyBorder="1"/>
    <xf numFmtId="0" fontId="23" fillId="0" borderId="147" xfId="0" applyFont="1" applyBorder="1" applyAlignment="1" applyProtection="1">
      <alignment horizontal="center"/>
      <protection hidden="1"/>
    </xf>
    <xf numFmtId="0" fontId="31" fillId="0" borderId="147" xfId="0" applyFont="1" applyBorder="1" applyAlignment="1" applyProtection="1">
      <alignment horizontal="center" vertical="center" wrapText="1"/>
      <protection hidden="1"/>
    </xf>
    <xf numFmtId="166" fontId="11" fillId="111" borderId="143" xfId="31" applyFont="1" applyFill="1" applyBorder="1" applyAlignment="1" applyProtection="1">
      <alignment horizontal="center" vertical="center" wrapText="1"/>
      <protection hidden="1"/>
    </xf>
    <xf numFmtId="0" fontId="66" fillId="45" borderId="58" xfId="0" applyFont="1" applyFill="1" applyBorder="1" applyAlignment="1" applyProtection="1">
      <alignment horizontal="center"/>
      <protection hidden="1"/>
    </xf>
    <xf numFmtId="0" fontId="66" fillId="96" borderId="130" xfId="0" applyFont="1" applyFill="1" applyBorder="1" applyAlignment="1" applyProtection="1">
      <alignment horizontal="left"/>
      <protection hidden="1"/>
    </xf>
    <xf numFmtId="172" fontId="66" fillId="45" borderId="58" xfId="36" applyNumberFormat="1" applyFont="1" applyFill="1" applyBorder="1" applyAlignment="1" applyProtection="1">
      <alignment horizontal="right"/>
      <protection hidden="1"/>
    </xf>
    <xf numFmtId="171" fontId="66" fillId="46" borderId="59" xfId="36" applyFont="1" applyFill="1" applyBorder="1" applyAlignment="1" applyProtection="1">
      <alignment horizontal="center"/>
      <protection hidden="1"/>
    </xf>
    <xf numFmtId="171" fontId="66" fillId="45" borderId="58" xfId="36" applyFont="1" applyFill="1" applyBorder="1" applyAlignment="1" applyProtection="1">
      <alignment horizontal="center"/>
      <protection hidden="1"/>
    </xf>
    <xf numFmtId="4" fontId="66" fillId="46" borderId="59" xfId="36" applyNumberFormat="1" applyFont="1" applyFill="1" applyBorder="1" applyAlignment="1" applyProtection="1">
      <alignment horizontal="right"/>
      <protection hidden="1"/>
    </xf>
    <xf numFmtId="4" fontId="66" fillId="46" borderId="59" xfId="36" applyNumberFormat="1" applyFont="1" applyFill="1" applyBorder="1" applyProtection="1">
      <protection hidden="1"/>
    </xf>
    <xf numFmtId="4" fontId="66" fillId="51" borderId="64" xfId="36" applyNumberFormat="1" applyFont="1" applyFill="1" applyBorder="1" applyAlignment="1" applyProtection="1">
      <alignment horizontal="right"/>
      <protection hidden="1"/>
    </xf>
    <xf numFmtId="4" fontId="66" fillId="47" borderId="60" xfId="36" applyNumberFormat="1" applyFont="1" applyFill="1" applyBorder="1" applyAlignment="1" applyProtection="1">
      <alignment horizontal="center"/>
      <protection hidden="1"/>
    </xf>
    <xf numFmtId="4" fontId="66" fillId="46" borderId="59" xfId="36" applyNumberFormat="1" applyFont="1" applyFill="1" applyBorder="1" applyAlignment="1" applyProtection="1">
      <alignment horizontal="center" wrapText="1"/>
      <protection hidden="1"/>
    </xf>
    <xf numFmtId="0" fontId="21" fillId="129" borderId="131" xfId="0" applyFont="1" applyFill="1" applyBorder="1" applyAlignment="1" applyProtection="1">
      <alignment horizontal="left"/>
      <protection hidden="1"/>
    </xf>
    <xf numFmtId="172" fontId="21" fillId="129" borderId="59" xfId="36" applyNumberFormat="1" applyFont="1" applyFill="1" applyBorder="1" applyAlignment="1" applyProtection="1">
      <alignment horizontal="right"/>
      <protection hidden="1"/>
    </xf>
    <xf numFmtId="171" fontId="21" fillId="129" borderId="59" xfId="36" applyFont="1" applyFill="1" applyBorder="1" applyAlignment="1" applyProtection="1">
      <alignment horizontal="center"/>
      <protection hidden="1"/>
    </xf>
    <xf numFmtId="171" fontId="21" fillId="129" borderId="73" xfId="36" applyFont="1" applyFill="1" applyBorder="1" applyAlignment="1" applyProtection="1">
      <alignment horizontal="right"/>
      <protection hidden="1"/>
    </xf>
    <xf numFmtId="171" fontId="21" fillId="129" borderId="59" xfId="36" applyFont="1" applyFill="1" applyBorder="1" applyProtection="1">
      <protection hidden="1"/>
    </xf>
    <xf numFmtId="171" fontId="21" fillId="129" borderId="64" xfId="36" applyFont="1" applyFill="1" applyBorder="1" applyAlignment="1" applyProtection="1">
      <alignment horizontal="right"/>
      <protection hidden="1"/>
    </xf>
    <xf numFmtId="171" fontId="21" fillId="129" borderId="60" xfId="36" applyFont="1" applyFill="1" applyBorder="1" applyAlignment="1" applyProtection="1">
      <alignment horizontal="center"/>
      <protection hidden="1"/>
    </xf>
    <xf numFmtId="4" fontId="21" fillId="129" borderId="59" xfId="0" applyNumberFormat="1" applyFont="1" applyFill="1" applyBorder="1" applyProtection="1">
      <protection hidden="1"/>
    </xf>
    <xf numFmtId="4" fontId="21" fillId="129" borderId="59" xfId="0" applyNumberFormat="1" applyFont="1" applyFill="1" applyBorder="1" applyAlignment="1" applyProtection="1">
      <alignment horizontal="right"/>
      <protection hidden="1"/>
    </xf>
    <xf numFmtId="0" fontId="21" fillId="111" borderId="145" xfId="0" applyFont="1" applyFill="1" applyBorder="1" applyAlignment="1" applyProtection="1">
      <alignment horizontal="left" vertical="center" wrapText="1"/>
      <protection hidden="1"/>
    </xf>
    <xf numFmtId="2" fontId="63" fillId="131" borderId="99" xfId="36" applyNumberFormat="1" applyFill="1" applyBorder="1" applyAlignment="1" applyProtection="1">
      <alignment horizontal="right" vertical="center" wrapText="1"/>
      <protection hidden="1"/>
    </xf>
    <xf numFmtId="166" fontId="63" fillId="131" borderId="68" xfId="31" applyFill="1" applyBorder="1" applyAlignment="1" applyProtection="1">
      <alignment horizontal="center" vertical="center" wrapText="1"/>
      <protection hidden="1"/>
    </xf>
    <xf numFmtId="166" fontId="63" fillId="131" borderId="51" xfId="31" applyFill="1" applyBorder="1" applyAlignment="1" applyProtection="1">
      <alignment horizontal="center" vertical="center" wrapText="1"/>
      <protection hidden="1"/>
    </xf>
    <xf numFmtId="166" fontId="63" fillId="129" borderId="69" xfId="31" applyFill="1" applyBorder="1" applyAlignment="1" applyProtection="1">
      <alignment horizontal="center" vertical="center" wrapText="1"/>
      <protection hidden="1"/>
    </xf>
    <xf numFmtId="166" fontId="53" fillId="112" borderId="120" xfId="31" applyFont="1" applyFill="1" applyBorder="1" applyAlignment="1" applyProtection="1">
      <alignment horizontal="center" vertical="center" wrapText="1"/>
      <protection hidden="1"/>
    </xf>
    <xf numFmtId="166" fontId="53" fillId="112" borderId="121" xfId="31" applyFont="1" applyFill="1" applyBorder="1" applyAlignment="1" applyProtection="1">
      <alignment horizontal="center" vertical="center" wrapText="1"/>
      <protection hidden="1"/>
    </xf>
    <xf numFmtId="166" fontId="63" fillId="129" borderId="82" xfId="31" applyFill="1" applyBorder="1" applyAlignment="1" applyProtection="1">
      <alignment horizontal="center" vertical="center" wrapText="1"/>
      <protection hidden="1"/>
    </xf>
    <xf numFmtId="166" fontId="63" fillId="131" borderId="101" xfId="31" applyFill="1" applyBorder="1" applyAlignment="1" applyProtection="1">
      <alignment horizontal="center" vertical="center" wrapText="1"/>
      <protection hidden="1"/>
    </xf>
    <xf numFmtId="166" fontId="63" fillId="129" borderId="118" xfId="31" applyFill="1" applyBorder="1" applyAlignment="1" applyProtection="1">
      <alignment horizontal="center" vertical="center" wrapText="1"/>
      <protection hidden="1"/>
    </xf>
    <xf numFmtId="171" fontId="21" fillId="46" borderId="147" xfId="36" applyFont="1" applyFill="1" applyBorder="1" applyAlignment="1" applyProtection="1">
      <alignment horizontal="center" wrapText="1"/>
      <protection hidden="1"/>
    </xf>
    <xf numFmtId="166" fontId="11" fillId="129" borderId="143" xfId="31" applyFont="1" applyFill="1" applyBorder="1" applyAlignment="1" applyProtection="1">
      <alignment horizontal="center" vertical="center" wrapText="1"/>
      <protection hidden="1"/>
    </xf>
    <xf numFmtId="166" fontId="11" fillId="132" borderId="143" xfId="31" applyFont="1" applyFill="1" applyBorder="1" applyAlignment="1" applyProtection="1">
      <alignment horizontal="center" vertical="center" wrapText="1"/>
      <protection hidden="1"/>
    </xf>
    <xf numFmtId="174" fontId="38" fillId="46" borderId="59" xfId="0" applyNumberFormat="1" applyFont="1" applyFill="1" applyBorder="1" applyAlignment="1" applyProtection="1">
      <alignment horizontal="center" vertical="center" wrapText="1"/>
      <protection hidden="1"/>
    </xf>
    <xf numFmtId="0" fontId="38" fillId="46" borderId="59" xfId="0" applyFont="1" applyFill="1" applyBorder="1" applyAlignment="1" applyProtection="1">
      <alignment horizontal="center" vertical="center" wrapText="1"/>
      <protection hidden="1"/>
    </xf>
    <xf numFmtId="166" fontId="11" fillId="132" borderId="69" xfId="31" applyFont="1" applyFill="1" applyBorder="1" applyAlignment="1" applyProtection="1">
      <alignment horizontal="center" vertical="center" wrapText="1"/>
      <protection hidden="1"/>
    </xf>
    <xf numFmtId="0" fontId="67" fillId="0" borderId="0" xfId="0" applyFont="1" applyProtection="1">
      <protection hidden="1"/>
    </xf>
    <xf numFmtId="0" fontId="68" fillId="0" borderId="0" xfId="0" applyFont="1" applyProtection="1">
      <protection hidden="1"/>
    </xf>
    <xf numFmtId="169" fontId="67" fillId="0" borderId="0" xfId="0" applyNumberFormat="1" applyFont="1" applyProtection="1">
      <protection hidden="1"/>
    </xf>
    <xf numFmtId="0" fontId="67" fillId="0" borderId="0" xfId="0" applyFont="1"/>
    <xf numFmtId="166" fontId="11" fillId="133" borderId="143" xfId="31" applyFont="1" applyFill="1" applyBorder="1" applyAlignment="1" applyProtection="1">
      <alignment horizontal="center" vertical="center" wrapText="1"/>
      <protection hidden="1"/>
    </xf>
    <xf numFmtId="0" fontId="21" fillId="129" borderId="95" xfId="0" applyFont="1" applyFill="1" applyBorder="1" applyAlignment="1" applyProtection="1">
      <alignment horizontal="left" vertical="center" wrapText="1"/>
      <protection hidden="1"/>
    </xf>
    <xf numFmtId="0" fontId="44" fillId="130" borderId="169" xfId="0" applyFont="1" applyFill="1" applyBorder="1" applyAlignment="1" applyProtection="1">
      <alignment horizontal="center" vertical="center" wrapText="1"/>
      <protection locked="0"/>
    </xf>
    <xf numFmtId="0" fontId="21" fillId="111" borderId="98" xfId="0" applyFont="1" applyFill="1" applyBorder="1" applyAlignment="1" applyProtection="1">
      <alignment horizontal="left" vertical="center" wrapText="1"/>
      <protection hidden="1"/>
    </xf>
    <xf numFmtId="0" fontId="21" fillId="111" borderId="59" xfId="0" applyFont="1" applyFill="1" applyBorder="1" applyAlignment="1" applyProtection="1">
      <alignment horizontal="left" vertical="center" wrapText="1"/>
      <protection hidden="1"/>
    </xf>
    <xf numFmtId="0" fontId="21" fillId="111" borderId="58" xfId="0" applyFont="1" applyFill="1" applyBorder="1" applyAlignment="1" applyProtection="1">
      <alignment horizontal="left" vertical="center" wrapText="1"/>
      <protection hidden="1"/>
    </xf>
    <xf numFmtId="0" fontId="21" fillId="111" borderId="83" xfId="0" applyFont="1" applyFill="1" applyBorder="1" applyAlignment="1" applyProtection="1">
      <alignment horizontal="left" vertical="center" wrapText="1"/>
      <protection hidden="1"/>
    </xf>
    <xf numFmtId="0" fontId="21" fillId="111" borderId="64" xfId="0" applyFont="1" applyFill="1" applyBorder="1" applyAlignment="1" applyProtection="1">
      <alignment horizontal="left" vertical="center" wrapText="1"/>
      <protection hidden="1"/>
    </xf>
    <xf numFmtId="0" fontId="21" fillId="134" borderId="34" xfId="0" applyFont="1" applyFill="1" applyBorder="1" applyAlignment="1" applyProtection="1">
      <alignment horizontal="left" vertical="center" wrapText="1"/>
      <protection hidden="1"/>
    </xf>
    <xf numFmtId="0" fontId="21" fillId="111" borderId="96" xfId="0" applyFont="1" applyFill="1" applyBorder="1" applyAlignment="1" applyProtection="1">
      <alignment horizontal="left" vertical="center" wrapText="1"/>
      <protection hidden="1"/>
    </xf>
    <xf numFmtId="0" fontId="21" fillId="111" borderId="97" xfId="0" applyFont="1" applyFill="1" applyBorder="1" applyAlignment="1" applyProtection="1">
      <alignment horizontal="left" vertical="center" wrapText="1"/>
      <protection hidden="1"/>
    </xf>
    <xf numFmtId="0" fontId="21" fillId="111" borderId="161" xfId="0" applyFont="1" applyFill="1" applyBorder="1" applyAlignment="1" applyProtection="1">
      <alignment horizontal="left" vertical="center" wrapText="1"/>
      <protection hidden="1"/>
    </xf>
    <xf numFmtId="0" fontId="21" fillId="111" borderId="169" xfId="0" applyFont="1" applyFill="1" applyBorder="1" applyAlignment="1" applyProtection="1">
      <alignment horizontal="left" vertical="center" wrapText="1"/>
      <protection hidden="1"/>
    </xf>
    <xf numFmtId="0" fontId="21" fillId="111" borderId="83" xfId="0" applyFont="1" applyFill="1" applyBorder="1" applyAlignment="1" applyProtection="1">
      <alignment horizontal="left" vertical="center" wrapText="1"/>
      <protection locked="0"/>
    </xf>
    <xf numFmtId="4" fontId="21" fillId="111" borderId="95" xfId="0" applyNumberFormat="1" applyFont="1" applyFill="1" applyBorder="1" applyAlignment="1" applyProtection="1">
      <alignment horizontal="left" vertical="center" wrapText="1"/>
      <protection hidden="1"/>
    </xf>
    <xf numFmtId="0" fontId="21" fillId="111" borderId="146" xfId="0" applyFont="1" applyFill="1" applyBorder="1" applyAlignment="1" applyProtection="1">
      <alignment horizontal="left" vertical="center" wrapText="1"/>
      <protection hidden="1"/>
    </xf>
    <xf numFmtId="0" fontId="63" fillId="78" borderId="100" xfId="36" applyNumberFormat="1" applyFill="1" applyBorder="1" applyAlignment="1" applyProtection="1">
      <alignment horizontal="right" vertical="center" wrapText="1"/>
      <protection hidden="1"/>
    </xf>
    <xf numFmtId="0" fontId="66" fillId="129" borderId="95" xfId="0" applyFont="1" applyFill="1" applyBorder="1" applyAlignment="1" applyProtection="1">
      <alignment horizontal="left" vertical="center" wrapText="1"/>
      <protection hidden="1"/>
    </xf>
    <xf numFmtId="171" fontId="21" fillId="47" borderId="132" xfId="36" applyFont="1" applyFill="1" applyBorder="1" applyAlignment="1" applyProtection="1">
      <alignment horizontal="center"/>
      <protection hidden="1"/>
    </xf>
    <xf numFmtId="3" fontId="66" fillId="46" borderId="59" xfId="0" applyNumberFormat="1" applyFont="1" applyFill="1" applyBorder="1" applyAlignment="1" applyProtection="1">
      <alignment horizontal="center" vertical="center" wrapText="1"/>
      <protection hidden="1"/>
    </xf>
    <xf numFmtId="0" fontId="66" fillId="46" borderId="59" xfId="0" applyFont="1" applyFill="1" applyBorder="1" applyAlignment="1" applyProtection="1">
      <alignment horizontal="center" vertical="center" wrapText="1"/>
      <protection hidden="1"/>
    </xf>
    <xf numFmtId="4" fontId="66" fillId="46" borderId="59" xfId="0" applyNumberFormat="1" applyFont="1" applyFill="1" applyBorder="1" applyAlignment="1" applyProtection="1">
      <alignment horizontal="center" vertical="center" wrapText="1"/>
      <protection hidden="1"/>
    </xf>
    <xf numFmtId="166" fontId="69" fillId="55" borderId="68" xfId="31" applyFont="1" applyFill="1" applyBorder="1" applyAlignment="1" applyProtection="1">
      <alignment horizontal="center" vertical="center" wrapText="1"/>
      <protection hidden="1"/>
    </xf>
    <xf numFmtId="167" fontId="29" fillId="0" borderId="168" xfId="0" applyNumberFormat="1" applyFont="1" applyBorder="1" applyAlignment="1" applyProtection="1">
      <alignment horizontal="left" vertical="center" wrapText="1"/>
      <protection hidden="1"/>
    </xf>
    <xf numFmtId="0" fontId="31" fillId="41" borderId="147" xfId="0" applyFont="1" applyFill="1" applyBorder="1" applyAlignment="1" applyProtection="1">
      <alignment horizontal="center" vertical="center" wrapText="1"/>
      <protection hidden="1"/>
    </xf>
    <xf numFmtId="169" fontId="23" fillId="0" borderId="147" xfId="0" applyNumberFormat="1" applyFont="1" applyBorder="1" applyProtection="1">
      <protection hidden="1"/>
    </xf>
    <xf numFmtId="169" fontId="29" fillId="0" borderId="147" xfId="0" applyNumberFormat="1" applyFont="1" applyBorder="1" applyAlignment="1" applyProtection="1">
      <alignment horizontal="center"/>
      <protection locked="0"/>
    </xf>
    <xf numFmtId="171" fontId="43" fillId="0" borderId="0" xfId="0" applyNumberFormat="1" applyFont="1" applyAlignment="1" applyProtection="1">
      <alignment horizontal="center" vertical="center" wrapText="1"/>
      <protection locked="0"/>
    </xf>
    <xf numFmtId="166" fontId="11" fillId="111" borderId="69" xfId="31" applyFont="1" applyFill="1" applyBorder="1" applyAlignment="1" applyProtection="1">
      <alignment horizontal="center" vertical="center" wrapText="1"/>
      <protection hidden="1"/>
    </xf>
    <xf numFmtId="0" fontId="66" fillId="111" borderId="95" xfId="0" applyFont="1" applyFill="1" applyBorder="1" applyAlignment="1" applyProtection="1">
      <alignment horizontal="left" vertical="center" wrapText="1"/>
      <protection hidden="1"/>
    </xf>
    <xf numFmtId="0" fontId="38" fillId="111" borderId="98" xfId="0" applyFont="1" applyFill="1" applyBorder="1" applyAlignment="1" applyProtection="1">
      <alignment horizontal="left" vertical="center" wrapText="1"/>
      <protection hidden="1"/>
    </xf>
    <xf numFmtId="0" fontId="38" fillId="60" borderId="73" xfId="0" applyFont="1" applyFill="1" applyBorder="1" applyAlignment="1" applyProtection="1">
      <alignment horizontal="center" vertical="center" wrapText="1"/>
      <protection hidden="1"/>
    </xf>
    <xf numFmtId="3" fontId="38" fillId="51" borderId="64" xfId="0" applyNumberFormat="1" applyFont="1" applyFill="1" applyBorder="1" applyAlignment="1" applyProtection="1">
      <alignment horizontal="center" vertical="center" wrapText="1"/>
      <protection hidden="1"/>
    </xf>
    <xf numFmtId="2" fontId="11" fillId="77" borderId="99" xfId="36" applyNumberFormat="1" applyFont="1" applyFill="1" applyBorder="1" applyAlignment="1" applyProtection="1">
      <alignment horizontal="right" vertical="center" wrapText="1"/>
      <protection hidden="1"/>
    </xf>
    <xf numFmtId="166" fontId="11" fillId="55" borderId="68" xfId="31" applyFont="1" applyFill="1" applyBorder="1" applyAlignment="1" applyProtection="1">
      <alignment horizontal="center" vertical="center" wrapText="1"/>
      <protection hidden="1"/>
    </xf>
    <xf numFmtId="0" fontId="38" fillId="46" borderId="59" xfId="0" applyFont="1" applyFill="1" applyBorder="1" applyAlignment="1" applyProtection="1">
      <alignment horizontal="center"/>
      <protection hidden="1"/>
    </xf>
    <xf numFmtId="0" fontId="38" fillId="97" borderId="131" xfId="0" applyFont="1" applyFill="1" applyBorder="1" applyAlignment="1" applyProtection="1">
      <alignment horizontal="left"/>
      <protection hidden="1"/>
    </xf>
    <xf numFmtId="172" fontId="38" fillId="46" borderId="59" xfId="36" applyNumberFormat="1" applyFont="1" applyFill="1" applyBorder="1" applyAlignment="1" applyProtection="1">
      <alignment horizontal="right"/>
      <protection hidden="1"/>
    </xf>
    <xf numFmtId="171" fontId="38" fillId="46" borderId="59" xfId="36" applyFont="1" applyFill="1" applyBorder="1" applyAlignment="1" applyProtection="1">
      <alignment horizontal="center"/>
      <protection hidden="1"/>
    </xf>
    <xf numFmtId="171" fontId="38" fillId="60" borderId="73" xfId="36" applyFont="1" applyFill="1" applyBorder="1" applyAlignment="1" applyProtection="1">
      <alignment horizontal="right"/>
      <protection hidden="1"/>
    </xf>
    <xf numFmtId="171" fontId="38" fillId="46" borderId="59" xfId="36" applyFont="1" applyFill="1" applyBorder="1" applyProtection="1">
      <protection hidden="1"/>
    </xf>
    <xf numFmtId="171" fontId="38" fillId="51" borderId="64" xfId="36" applyFont="1" applyFill="1" applyBorder="1" applyAlignment="1" applyProtection="1">
      <alignment horizontal="right"/>
      <protection hidden="1"/>
    </xf>
    <xf numFmtId="171" fontId="38" fillId="47" borderId="60" xfId="36" applyFont="1" applyFill="1" applyBorder="1" applyAlignment="1" applyProtection="1">
      <alignment horizontal="center"/>
      <protection hidden="1"/>
    </xf>
    <xf numFmtId="4" fontId="38" fillId="46" borderId="59" xfId="0" applyNumberFormat="1" applyFont="1" applyFill="1" applyBorder="1" applyProtection="1">
      <protection hidden="1"/>
    </xf>
    <xf numFmtId="4" fontId="38" fillId="46" borderId="59" xfId="0" applyNumberFormat="1" applyFont="1" applyFill="1" applyBorder="1" applyAlignment="1" applyProtection="1">
      <alignment horizontal="right"/>
      <protection hidden="1"/>
    </xf>
    <xf numFmtId="166" fontId="11" fillId="39" borderId="51" xfId="31" applyFont="1" applyFill="1" applyBorder="1" applyAlignment="1" applyProtection="1">
      <alignment horizontal="center" vertical="center" wrapText="1"/>
      <protection hidden="1"/>
    </xf>
    <xf numFmtId="171" fontId="48" fillId="0" borderId="0" xfId="36" applyFont="1" applyAlignment="1" applyProtection="1">
      <alignment horizontal="center"/>
      <protection hidden="1"/>
    </xf>
    <xf numFmtId="0" fontId="27" fillId="81" borderId="114" xfId="0" applyFont="1" applyFill="1" applyBorder="1" applyAlignment="1" applyProtection="1">
      <alignment horizontal="center"/>
      <protection hidden="1"/>
    </xf>
    <xf numFmtId="0" fontId="22" fillId="0" borderId="0" xfId="0" applyFont="1" applyAlignment="1" applyProtection="1">
      <alignment horizontal="center"/>
      <protection hidden="1"/>
    </xf>
    <xf numFmtId="0" fontId="31" fillId="0" borderId="152" xfId="0" applyFont="1" applyBorder="1" applyAlignment="1" applyProtection="1">
      <alignment horizontal="center"/>
      <protection hidden="1"/>
    </xf>
    <xf numFmtId="0" fontId="28" fillId="0" borderId="152" xfId="0" applyFont="1" applyBorder="1" applyAlignment="1" applyProtection="1">
      <alignment horizontal="center"/>
      <protection hidden="1"/>
    </xf>
    <xf numFmtId="0" fontId="22" fillId="0" borderId="152" xfId="0" applyFont="1" applyBorder="1" applyAlignment="1" applyProtection="1">
      <alignment horizontal="center"/>
      <protection hidden="1"/>
    </xf>
    <xf numFmtId="0" fontId="39" fillId="0" borderId="153" xfId="0" applyFont="1" applyBorder="1" applyAlignment="1" applyProtection="1">
      <alignment horizontal="center" vertical="center" wrapText="1"/>
      <protection hidden="1"/>
    </xf>
    <xf numFmtId="0" fontId="39" fillId="0" borderId="0" xfId="0" applyFont="1" applyAlignment="1" applyProtection="1">
      <alignment horizontal="center" vertical="center" wrapText="1"/>
      <protection hidden="1"/>
    </xf>
    <xf numFmtId="0" fontId="39" fillId="0" borderId="154" xfId="0" applyFont="1" applyBorder="1" applyAlignment="1" applyProtection="1">
      <alignment horizontal="center" vertical="center" wrapText="1"/>
      <protection hidden="1"/>
    </xf>
    <xf numFmtId="0" fontId="33" fillId="0" borderId="153" xfId="0" applyFont="1" applyBorder="1" applyAlignment="1" applyProtection="1">
      <alignment horizontal="center" vertical="center" wrapText="1"/>
      <protection hidden="1"/>
    </xf>
    <xf numFmtId="0" fontId="33" fillId="0" borderId="0" xfId="0" applyFont="1" applyAlignment="1" applyProtection="1">
      <alignment horizontal="center" vertical="center" wrapText="1"/>
      <protection hidden="1"/>
    </xf>
    <xf numFmtId="0" fontId="33" fillId="0" borderId="154" xfId="0" applyFont="1" applyBorder="1" applyAlignment="1" applyProtection="1">
      <alignment horizontal="center" vertical="center" wrapText="1"/>
      <protection hidden="1"/>
    </xf>
    <xf numFmtId="0" fontId="26" fillId="0" borderId="153" xfId="0" applyFont="1" applyBorder="1" applyAlignment="1" applyProtection="1">
      <alignment horizontal="center" vertical="center" wrapText="1"/>
      <protection hidden="1"/>
    </xf>
    <xf numFmtId="0" fontId="26" fillId="0" borderId="0" xfId="0" applyFont="1" applyAlignment="1" applyProtection="1">
      <alignment horizontal="center" vertical="center" wrapText="1"/>
      <protection hidden="1"/>
    </xf>
    <xf numFmtId="0" fontId="26" fillId="0" borderId="154" xfId="0" applyFont="1" applyBorder="1" applyAlignment="1" applyProtection="1">
      <alignment horizontal="center" vertical="center" wrapText="1"/>
      <protection hidden="1"/>
    </xf>
    <xf numFmtId="0" fontId="21" fillId="81" borderId="114" xfId="0" applyFont="1" applyFill="1" applyBorder="1" applyAlignment="1" applyProtection="1">
      <alignment horizontal="center" vertical="center" wrapText="1"/>
      <protection hidden="1"/>
    </xf>
    <xf numFmtId="0" fontId="46" fillId="38" borderId="50" xfId="0" applyFont="1" applyFill="1" applyBorder="1" applyAlignment="1" applyProtection="1">
      <alignment horizontal="center" vertical="center" wrapText="1"/>
      <protection hidden="1"/>
    </xf>
    <xf numFmtId="0" fontId="46" fillId="43" borderId="56" xfId="0" applyFont="1" applyFill="1" applyBorder="1" applyAlignment="1" applyProtection="1">
      <alignment horizontal="center" vertical="center" wrapText="1"/>
      <protection hidden="1"/>
    </xf>
    <xf numFmtId="0" fontId="46" fillId="115" borderId="155" xfId="0" applyFont="1" applyFill="1" applyBorder="1" applyAlignment="1" applyProtection="1">
      <alignment horizontal="center" vertical="center" wrapText="1"/>
      <protection hidden="1"/>
    </xf>
    <xf numFmtId="0" fontId="36" fillId="64" borderId="77" xfId="0" applyFont="1" applyFill="1" applyBorder="1" applyAlignment="1" applyProtection="1">
      <alignment horizontal="center" vertical="center" wrapText="1"/>
      <protection hidden="1"/>
    </xf>
    <xf numFmtId="167" fontId="40" fillId="24" borderId="23" xfId="0" applyNumberFormat="1" applyFont="1" applyFill="1" applyBorder="1" applyAlignment="1" applyProtection="1">
      <alignment horizontal="center" vertical="center" wrapText="1"/>
      <protection hidden="1"/>
    </xf>
    <xf numFmtId="0" fontId="45" fillId="43" borderId="56" xfId="0" applyFont="1" applyFill="1" applyBorder="1" applyAlignment="1" applyProtection="1">
      <alignment horizontal="center" vertical="center" wrapText="1"/>
      <protection hidden="1"/>
    </xf>
    <xf numFmtId="0" fontId="45" fillId="115" borderId="155" xfId="0" applyFont="1" applyFill="1" applyBorder="1" applyAlignment="1" applyProtection="1">
      <alignment horizontal="center" vertical="center" wrapText="1"/>
      <protection hidden="1"/>
    </xf>
    <xf numFmtId="0" fontId="45" fillId="54" borderId="67" xfId="0" applyFont="1" applyFill="1" applyBorder="1" applyAlignment="1" applyProtection="1">
      <alignment horizontal="center" vertical="center" wrapText="1"/>
      <protection hidden="1"/>
    </xf>
    <xf numFmtId="0" fontId="46" fillId="116" borderId="156" xfId="0" applyFont="1" applyFill="1" applyBorder="1" applyAlignment="1" applyProtection="1">
      <alignment horizontal="center" vertical="center" wrapText="1"/>
      <protection hidden="1"/>
    </xf>
    <xf numFmtId="0" fontId="46" fillId="117" borderId="157" xfId="0" applyFont="1" applyFill="1" applyBorder="1" applyAlignment="1" applyProtection="1">
      <alignment horizontal="center" vertical="center" wrapText="1"/>
      <protection hidden="1"/>
    </xf>
    <xf numFmtId="0" fontId="46" fillId="118" borderId="158" xfId="0" applyFont="1" applyFill="1" applyBorder="1" applyAlignment="1" applyProtection="1">
      <alignment horizontal="center" vertical="center" wrapText="1"/>
      <protection hidden="1"/>
    </xf>
    <xf numFmtId="0" fontId="57" fillId="53" borderId="66" xfId="0" applyFont="1" applyFill="1" applyBorder="1" applyAlignment="1">
      <alignment horizontal="center"/>
    </xf>
    <xf numFmtId="167" fontId="56" fillId="76" borderId="94" xfId="0" applyNumberFormat="1" applyFont="1" applyFill="1" applyBorder="1" applyAlignment="1" applyProtection="1">
      <alignment horizontal="left" vertical="center"/>
      <protection hidden="1"/>
    </xf>
    <xf numFmtId="49" fontId="56" fillId="76" borderId="94" xfId="0" applyNumberFormat="1" applyFont="1" applyFill="1" applyBorder="1" applyAlignment="1" applyProtection="1">
      <alignment horizontal="left" vertical="center"/>
      <protection hidden="1"/>
    </xf>
    <xf numFmtId="0" fontId="57" fillId="53" borderId="66" xfId="0" applyFont="1" applyFill="1" applyBorder="1" applyAlignment="1">
      <alignment horizontal="right"/>
    </xf>
    <xf numFmtId="0" fontId="56" fillId="53" borderId="66" xfId="0" applyFont="1" applyFill="1" applyBorder="1" applyAlignment="1">
      <alignment horizontal="center"/>
    </xf>
    <xf numFmtId="0" fontId="56" fillId="119" borderId="159" xfId="0" applyFont="1" applyFill="1" applyBorder="1" applyAlignment="1">
      <alignment horizontal="center"/>
    </xf>
    <xf numFmtId="0" fontId="24" fillId="120" borderId="160" xfId="0" applyFont="1" applyFill="1" applyBorder="1" applyAlignment="1">
      <alignment horizontal="center"/>
    </xf>
    <xf numFmtId="0" fontId="25" fillId="120" borderId="160" xfId="0" applyFont="1" applyFill="1" applyBorder="1" applyAlignment="1">
      <alignment horizontal="center"/>
    </xf>
    <xf numFmtId="0" fontId="26" fillId="120" borderId="160" xfId="0" applyFont="1" applyFill="1" applyBorder="1" applyAlignment="1">
      <alignment horizontal="center"/>
    </xf>
    <xf numFmtId="0" fontId="28" fillId="119" borderId="159" xfId="0" applyFont="1" applyFill="1" applyBorder="1" applyAlignment="1">
      <alignment horizontal="center"/>
    </xf>
    <xf numFmtId="0" fontId="26" fillId="53" borderId="66" xfId="0" applyFont="1" applyFill="1" applyBorder="1" applyAlignment="1">
      <alignment horizontal="center"/>
    </xf>
    <xf numFmtId="0" fontId="31" fillId="47" borderId="60" xfId="0" applyFont="1" applyFill="1" applyBorder="1" applyAlignment="1" applyProtection="1">
      <alignment horizontal="center" vertical="center" wrapText="1"/>
      <protection hidden="1"/>
    </xf>
    <xf numFmtId="166" fontId="29" fillId="60" borderId="73" xfId="31" applyFont="1" applyFill="1" applyBorder="1" applyAlignment="1" applyProtection="1">
      <alignment horizontal="center"/>
      <protection hidden="1"/>
    </xf>
    <xf numFmtId="167" fontId="24" fillId="46" borderId="59" xfId="0" applyNumberFormat="1" applyFont="1" applyFill="1" applyBorder="1" applyAlignment="1" applyProtection="1">
      <alignment horizontal="center" vertical="center"/>
      <protection hidden="1"/>
    </xf>
    <xf numFmtId="0" fontId="28" fillId="121" borderId="161" xfId="0" applyFont="1" applyFill="1" applyBorder="1" applyAlignment="1" applyProtection="1">
      <alignment horizontal="center" vertical="center"/>
      <protection hidden="1"/>
    </xf>
    <xf numFmtId="0" fontId="28" fillId="121" borderId="161" xfId="0" applyFont="1" applyFill="1" applyBorder="1" applyAlignment="1" applyProtection="1">
      <alignment horizontal="center" textRotation="90" wrapText="1"/>
      <protection hidden="1"/>
    </xf>
    <xf numFmtId="0" fontId="28" fillId="96" borderId="130" xfId="0" applyFont="1" applyFill="1" applyBorder="1" applyAlignment="1" applyProtection="1">
      <alignment horizontal="center" textRotation="90" wrapText="1"/>
      <protection hidden="1"/>
    </xf>
    <xf numFmtId="0" fontId="28" fillId="97" borderId="131" xfId="0" applyFont="1" applyFill="1" applyBorder="1" applyAlignment="1" applyProtection="1">
      <alignment horizontal="center" vertical="center" wrapText="1"/>
      <protection hidden="1"/>
    </xf>
    <xf numFmtId="0" fontId="28" fillId="96" borderId="130" xfId="0" applyFont="1" applyFill="1" applyBorder="1" applyAlignment="1" applyProtection="1">
      <alignment horizontal="center" vertical="center"/>
      <protection hidden="1"/>
    </xf>
    <xf numFmtId="0" fontId="36" fillId="53" borderId="66" xfId="0" applyFont="1" applyFill="1" applyBorder="1" applyAlignment="1" applyProtection="1">
      <alignment horizontal="center" vertical="center" wrapText="1"/>
      <protection locked="0"/>
    </xf>
    <xf numFmtId="169" fontId="30" fillId="97" borderId="131" xfId="0" applyNumberFormat="1" applyFont="1" applyFill="1" applyBorder="1" applyAlignment="1" applyProtection="1">
      <alignment horizontal="center"/>
      <protection hidden="1"/>
    </xf>
    <xf numFmtId="0" fontId="21" fillId="122" borderId="162" xfId="0" applyFont="1" applyFill="1" applyBorder="1" applyAlignment="1" applyProtection="1">
      <alignment horizontal="left" wrapText="1"/>
      <protection hidden="1"/>
    </xf>
    <xf numFmtId="0" fontId="21" fillId="64" borderId="77" xfId="0" applyFont="1" applyFill="1" applyBorder="1" applyAlignment="1" applyProtection="1">
      <alignment horizontal="left" wrapText="1"/>
      <protection hidden="1"/>
    </xf>
    <xf numFmtId="0" fontId="24" fillId="120" borderId="160" xfId="0" applyFont="1" applyFill="1" applyBorder="1" applyAlignment="1" applyProtection="1">
      <alignment horizontal="center"/>
      <protection hidden="1"/>
    </xf>
    <xf numFmtId="0" fontId="25" fillId="120" borderId="160" xfId="0" applyFont="1" applyFill="1" applyBorder="1" applyAlignment="1" applyProtection="1">
      <alignment horizontal="center"/>
      <protection hidden="1"/>
    </xf>
    <xf numFmtId="0" fontId="26" fillId="120" borderId="160" xfId="0" applyFont="1" applyFill="1" applyBorder="1" applyAlignment="1" applyProtection="1">
      <alignment horizontal="center"/>
      <protection hidden="1"/>
    </xf>
    <xf numFmtId="0" fontId="26" fillId="53" borderId="66" xfId="0" applyFont="1" applyFill="1" applyBorder="1" applyAlignment="1" applyProtection="1">
      <alignment horizontal="center"/>
      <protection hidden="1"/>
    </xf>
    <xf numFmtId="0" fontId="30" fillId="98" borderId="132" xfId="0" applyFont="1" applyFill="1" applyBorder="1" applyAlignment="1" applyProtection="1">
      <alignment horizontal="center"/>
      <protection hidden="1"/>
    </xf>
    <xf numFmtId="0" fontId="30" fillId="123" borderId="163" xfId="0" applyFont="1" applyFill="1" applyBorder="1" applyAlignment="1" applyProtection="1">
      <alignment horizontal="center"/>
      <protection hidden="1"/>
    </xf>
    <xf numFmtId="0" fontId="30" fillId="67" borderId="82" xfId="0" applyFont="1" applyFill="1" applyBorder="1" applyAlignment="1" applyProtection="1">
      <alignment horizontal="center"/>
      <protection hidden="1"/>
    </xf>
    <xf numFmtId="0" fontId="21" fillId="53" borderId="66" xfId="0" applyFont="1" applyFill="1" applyBorder="1" applyAlignment="1" applyProtection="1">
      <alignment horizontal="left"/>
      <protection hidden="1"/>
    </xf>
    <xf numFmtId="0" fontId="28" fillId="119" borderId="159" xfId="0" applyFont="1" applyFill="1" applyBorder="1" applyAlignment="1" applyProtection="1">
      <alignment horizontal="center"/>
      <protection hidden="1"/>
    </xf>
    <xf numFmtId="0" fontId="36" fillId="53" borderId="66" xfId="0" applyFont="1" applyFill="1" applyBorder="1" applyAlignment="1" applyProtection="1">
      <alignment horizontal="center"/>
      <protection hidden="1"/>
    </xf>
    <xf numFmtId="166" fontId="30" fillId="60" borderId="73" xfId="31" applyFont="1" applyFill="1" applyBorder="1" applyAlignment="1" applyProtection="1">
      <alignment horizontal="center"/>
      <protection hidden="1"/>
    </xf>
    <xf numFmtId="0" fontId="28" fillId="97" borderId="131" xfId="0" applyFont="1" applyFill="1" applyBorder="1" applyAlignment="1" applyProtection="1">
      <alignment horizontal="center" vertical="center"/>
      <protection hidden="1"/>
    </xf>
    <xf numFmtId="0" fontId="35" fillId="97" borderId="131" xfId="0" applyFont="1" applyFill="1" applyBorder="1" applyAlignment="1" applyProtection="1">
      <alignment horizontal="center" vertical="center" wrapText="1"/>
      <protection hidden="1"/>
    </xf>
    <xf numFmtId="0" fontId="24" fillId="120" borderId="160" xfId="0" applyFont="1" applyFill="1" applyBorder="1" applyAlignment="1" applyProtection="1">
      <alignment horizontal="center"/>
      <protection locked="0"/>
    </xf>
    <xf numFmtId="0" fontId="25" fillId="120" borderId="160" xfId="0" applyFont="1" applyFill="1" applyBorder="1" applyAlignment="1" applyProtection="1">
      <alignment horizontal="center"/>
      <protection locked="0"/>
    </xf>
    <xf numFmtId="0" fontId="26" fillId="120" borderId="160" xfId="0" applyFont="1" applyFill="1" applyBorder="1" applyAlignment="1" applyProtection="1">
      <alignment horizontal="center"/>
      <protection locked="0"/>
    </xf>
    <xf numFmtId="0" fontId="26" fillId="53" borderId="66" xfId="0" applyFont="1" applyFill="1" applyBorder="1" applyAlignment="1" applyProtection="1">
      <alignment horizontal="center"/>
      <protection locked="0"/>
    </xf>
    <xf numFmtId="0" fontId="28" fillId="119" borderId="159" xfId="0" applyFont="1" applyFill="1" applyBorder="1" applyAlignment="1" applyProtection="1">
      <alignment horizontal="center"/>
      <protection locked="0"/>
    </xf>
    <xf numFmtId="0" fontId="21" fillId="53" borderId="66" xfId="0" applyFont="1" applyFill="1" applyBorder="1" applyAlignment="1" applyProtection="1">
      <alignment horizontal="center"/>
      <protection locked="0"/>
    </xf>
    <xf numFmtId="0" fontId="27" fillId="124" borderId="164" xfId="0" applyFont="1" applyFill="1" applyBorder="1" applyAlignment="1" applyProtection="1">
      <alignment horizontal="center" vertical="center" wrapText="1"/>
      <protection locked="0"/>
    </xf>
    <xf numFmtId="166" fontId="28" fillId="125" borderId="165" xfId="31" applyFont="1" applyFill="1" applyBorder="1" applyAlignment="1" applyProtection="1">
      <alignment horizontal="center" vertical="center" wrapText="1"/>
      <protection locked="0"/>
    </xf>
    <xf numFmtId="167" fontId="24" fillId="46" borderId="59" xfId="0" applyNumberFormat="1" applyFont="1" applyFill="1" applyBorder="1" applyAlignment="1" applyProtection="1">
      <alignment horizontal="center" vertical="center"/>
      <protection locked="0"/>
    </xf>
    <xf numFmtId="0" fontId="28" fillId="126" borderId="166" xfId="0" applyFont="1" applyFill="1" applyBorder="1" applyAlignment="1" applyProtection="1">
      <alignment horizontal="center" vertical="center"/>
      <protection locked="0"/>
    </xf>
    <xf numFmtId="0" fontId="28" fillId="121" borderId="161" xfId="0" applyFont="1" applyFill="1" applyBorder="1" applyAlignment="1" applyProtection="1">
      <alignment horizontal="center" vertical="center"/>
      <protection locked="0"/>
    </xf>
    <xf numFmtId="0" fontId="37" fillId="97" borderId="131" xfId="0" applyFont="1" applyFill="1" applyBorder="1" applyAlignment="1" applyProtection="1">
      <alignment horizontal="center" vertical="center" wrapText="1"/>
      <protection locked="0"/>
    </xf>
    <xf numFmtId="0" fontId="28" fillId="97" borderId="131" xfId="0" applyFont="1" applyFill="1" applyBorder="1" applyAlignment="1" applyProtection="1">
      <alignment horizontal="center" vertical="center" wrapText="1"/>
      <protection locked="0"/>
    </xf>
    <xf numFmtId="0" fontId="28" fillId="96" borderId="130" xfId="0" applyFont="1" applyFill="1" applyBorder="1" applyAlignment="1" applyProtection="1">
      <alignment horizontal="center" vertical="center"/>
      <protection locked="0"/>
    </xf>
    <xf numFmtId="0" fontId="28" fillId="97" borderId="131" xfId="0" applyFont="1" applyFill="1" applyBorder="1" applyAlignment="1" applyProtection="1">
      <alignment horizontal="center"/>
      <protection hidden="1"/>
    </xf>
    <xf numFmtId="0" fontId="13" fillId="0" borderId="111" xfId="0" applyFont="1" applyBorder="1" applyAlignment="1">
      <alignment horizontal="center"/>
    </xf>
    <xf numFmtId="0" fontId="13" fillId="0" borderId="103" xfId="0" applyFont="1" applyBorder="1" applyAlignment="1">
      <alignment horizontal="center"/>
    </xf>
    <xf numFmtId="0" fontId="13" fillId="0" borderId="108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168" fontId="29" fillId="0" borderId="53" xfId="0" applyNumberFormat="1" applyFont="1" applyBorder="1" applyAlignment="1" applyProtection="1">
      <alignment horizontal="center" vertical="center" wrapText="1"/>
      <protection hidden="1"/>
    </xf>
    <xf numFmtId="167" fontId="29" fillId="0" borderId="53" xfId="0" applyNumberFormat="1" applyFont="1" applyBorder="1" applyAlignment="1" applyProtection="1">
      <alignment horizontal="left" vertical="center" wrapText="1"/>
      <protection hidden="1"/>
    </xf>
    <xf numFmtId="0" fontId="29" fillId="0" borderId="44" xfId="0" applyFont="1" applyBorder="1" applyAlignment="1" applyProtection="1">
      <alignment horizontal="center"/>
      <protection hidden="1"/>
    </xf>
    <xf numFmtId="0" fontId="29" fillId="0" borderId="45" xfId="0" applyFont="1" applyBorder="1" applyAlignment="1" applyProtection="1">
      <alignment horizontal="center"/>
      <protection hidden="1"/>
    </xf>
    <xf numFmtId="0" fontId="31" fillId="84" borderId="117" xfId="0" applyFont="1" applyFill="1" applyBorder="1" applyAlignment="1" applyProtection="1">
      <alignment horizontal="left"/>
      <protection hidden="1"/>
    </xf>
    <xf numFmtId="0" fontId="31" fillId="42" borderId="55" xfId="0" applyFont="1" applyFill="1" applyBorder="1" applyAlignment="1" applyProtection="1">
      <alignment horizontal="left"/>
      <protection hidden="1"/>
    </xf>
    <xf numFmtId="0" fontId="31" fillId="42" borderId="163" xfId="0" applyFont="1" applyFill="1" applyBorder="1" applyAlignment="1" applyProtection="1">
      <alignment horizontal="left"/>
      <protection hidden="1"/>
    </xf>
    <xf numFmtId="169" fontId="31" fillId="42" borderId="55" xfId="0" applyNumberFormat="1" applyFont="1" applyFill="1" applyBorder="1" applyAlignment="1" applyProtection="1">
      <alignment horizontal="center"/>
      <protection hidden="1"/>
    </xf>
    <xf numFmtId="169" fontId="31" fillId="127" borderId="167" xfId="0" applyNumberFormat="1" applyFont="1" applyFill="1" applyBorder="1" applyAlignment="1" applyProtection="1">
      <alignment horizontal="center"/>
      <protection hidden="1"/>
    </xf>
    <xf numFmtId="168" fontId="29" fillId="0" borderId="0" xfId="0" applyNumberFormat="1" applyFont="1" applyAlignment="1" applyProtection="1">
      <alignment horizontal="center" vertical="center" wrapText="1"/>
      <protection hidden="1"/>
    </xf>
    <xf numFmtId="167" fontId="29" fillId="0" borderId="0" xfId="0" applyNumberFormat="1" applyFont="1" applyAlignment="1" applyProtection="1">
      <alignment horizontal="left" vertical="center" wrapText="1"/>
      <protection hidden="1"/>
    </xf>
    <xf numFmtId="168" fontId="29" fillId="128" borderId="168" xfId="0" applyNumberFormat="1" applyFont="1" applyFill="1" applyBorder="1" applyAlignment="1" applyProtection="1">
      <alignment horizontal="center" vertical="center" wrapText="1"/>
      <protection hidden="1"/>
    </xf>
    <xf numFmtId="0" fontId="18" fillId="32" borderId="32" xfId="0" applyFont="1" applyFill="1" applyBorder="1" applyAlignment="1">
      <alignment horizontal="left"/>
    </xf>
  </cellXfs>
  <cellStyles count="45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Moeda" xfId="31" builtinId="4" customBuiltin="1"/>
    <cellStyle name="Neutra" xfId="32" builtinId="28" customBuiltin="1"/>
    <cellStyle name="Normal" xfId="0" builtinId="0" customBuiltin="1"/>
    <cellStyle name="Nota" xfId="33" builtinId="10" customBuiltin="1"/>
    <cellStyle name="Porcentagem" xfId="34" builtinId="5" customBuiltin="1"/>
    <cellStyle name="Saída" xfId="35" builtinId="21" customBuiltin="1"/>
    <cellStyle name="Texto de Aviso" xfId="37" builtinId="11" customBuiltin="1"/>
    <cellStyle name="Texto Explicativo" xfId="38" builtinId="53" customBuiltin="1"/>
    <cellStyle name="Título 1" xfId="39" builtinId="16" customBuiltin="1"/>
    <cellStyle name="Título 2" xfId="40" builtinId="17" customBuiltin="1"/>
    <cellStyle name="Título 3" xfId="41" builtinId="18" customBuiltin="1"/>
    <cellStyle name="Título 4" xfId="42" builtinId="19" customBuiltin="1"/>
    <cellStyle name="Título 5" xfId="43"/>
    <cellStyle name="Total" xfId="44" builtinId="25" customBuiltin="1"/>
    <cellStyle name="Vírgula" xfId="36" builtinId="3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9525</xdr:rowOff>
    </xdr:from>
    <xdr:to>
      <xdr:col>1</xdr:col>
      <xdr:colOff>333375</xdr:colOff>
      <xdr:row>4</xdr:row>
      <xdr:rowOff>171450</xdr:rowOff>
    </xdr:to>
    <xdr:pic>
      <xdr:nvPicPr>
        <xdr:cNvPr id="3" name="Picture 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  <a:extLst>
            <a:ext uri="smNativeData">
              <pm:smNativeData xmlns:pm="smNativeData" xmlns="" val="SMDATA_15_RPqwY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AAAAADEA4QAEAAAAAQAAAJoDPQHhAAAAOwEAACwFAAA4BAAAAA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200025"/>
          <a:ext cx="840740" cy="68580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>
    <xdr:from>
      <xdr:col>11</xdr:col>
      <xdr:colOff>151765</xdr:colOff>
      <xdr:row>0</xdr:row>
      <xdr:rowOff>180975</xdr:rowOff>
    </xdr:from>
    <xdr:to>
      <xdr:col>11</xdr:col>
      <xdr:colOff>819785</xdr:colOff>
      <xdr:row>4</xdr:row>
      <xdr:rowOff>171450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  <a:extLst>
            <a:ext uri="smNativeData">
              <pm:smNativeData xmlns:pm="smNativeData" xmlns="" val="SMDATA_15_RPqwYhMAAAAlAAAAEQAAAK0AAAAAkAAAAEgAAACQAAAASAAAAAAAAAAAAAAAAAAAAAEAAABQAAAAAAAAAAAA4D8AAAAAAADgPwAAAAAAAOA/AAAAAAAA4D8AAAAAAADgPwAAAAAAAOA/AAAAAAAA4D8AAAAAAADgPwAAAAAAAOA/AAAAAAAA4D8CAAAAjAAAAAEAAAACAAAA////AAAAAAAAAAAAAAAAAAAAAAAAAAAAAAAAAAAAAAAAAAAAeAAAAAEAAABAAAAAAAAAAAAAAABaAAAAAAAAAAAAAAAAAAAAAAAAAAAAAAAAAAAAAAAAAAAAAAAAAAAAAAAAAAAAAAAAAAAAAAAAAAAAAAAAAAAAAAAAAAAAAAAAAAAAFAAAADwAAAAB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CAgIC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CwAAAM0DhAAEAAAACwAAAJoDyAKvRgAAHQEAABwEAABWBAAAAAAAAA=="/>
            </a:ext>
          </a:extLst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90325" y="180975"/>
          <a:ext cx="668020" cy="704850"/>
        </a:xfrm>
        <a:prstGeom prst="rect">
          <a:avLst/>
        </a:prstGeom>
        <a:blipFill>
          <a:blip xmlns:r="http://schemas.openxmlformats.org/officeDocument/2006/relationships"/>
          <a:srcRect/>
          <a:tile sx="100000" sy="100000" algn="tl"/>
        </a:blipFill>
        <a:ln w="9525" cap="flat">
          <a:solidFill>
            <a:srgbClr val="000000"/>
          </a:solidFill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85725</xdr:rowOff>
    </xdr:from>
    <xdr:to>
      <xdr:col>1</xdr:col>
      <xdr:colOff>1904365</xdr:colOff>
      <xdr:row>5</xdr:row>
      <xdr:rowOff>47625</xdr:rowOff>
    </xdr:to>
    <xdr:pic>
      <xdr:nvPicPr>
        <xdr:cNvPr id="2" name="Picture 24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  <a:extLst>
            <a:ext uri="smNativeData">
              <pm:smNativeData xmlns:pm="smNativeData" xmlns="" val="SMDATA_15_RPqwY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CBgYC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AQAAAM0BIwEFAAAAAQAAAAAB1wLwBgAAhwAAAAcHAACCBQAAAA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7760" y="85725"/>
          <a:ext cx="1142365" cy="89535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180975</xdr:rowOff>
    </xdr:from>
    <xdr:to>
      <xdr:col>3</xdr:col>
      <xdr:colOff>962025</xdr:colOff>
      <xdr:row>7</xdr:row>
      <xdr:rowOff>47625</xdr:rowOff>
    </xdr:to>
    <xdr:pic>
      <xdr:nvPicPr>
        <xdr:cNvPr id="2" name="Picture 5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  <a:extLst>
            <a:ext uri="smNativeData">
              <pm:smNativeData xmlns:pm="smNativeData" xmlns="" val="SMDATA_15_RPqwY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AQAAAM0DUgAHAAAAAwAAANsC0gF9AAAASQIAAO4HAADsBAAAAA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75" y="371475"/>
          <a:ext cx="1289050" cy="80010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0</xdr:row>
      <xdr:rowOff>0</xdr:rowOff>
    </xdr:from>
    <xdr:to>
      <xdr:col>2</xdr:col>
      <xdr:colOff>1086485</xdr:colOff>
      <xdr:row>4</xdr:row>
      <xdr:rowOff>0</xdr:rowOff>
    </xdr:to>
    <xdr:pic>
      <xdr:nvPicPr>
        <xdr:cNvPr id="3" name="Picture 1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  <a:extLst>
            <a:ext uri="smNativeData">
              <pm:smNativeData xmlns:pm="smNativeData" xmlns="" val="SMDATA_15_RPqwY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E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AQAAAAAA0QEEAAAAAgAAAAAA2AFRBAAAAAAAAL4HAACxAwAAAA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675" y="0"/>
          <a:ext cx="1258570" cy="600075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314325</xdr:colOff>
      <xdr:row>4</xdr:row>
      <xdr:rowOff>0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  <a:extLst>
            <a:ext uri="smNativeData">
              <pm:smNativeData xmlns:pm="smNativeData" xmlns="" val="SMDATA_15_RPqwYhMAAAAlAAAAEQAAAK0AAAAAkAAAAEgAAACQAAAASAAAAAAAAAAAAAAAAAAAAAEAAABQAAAAAAAAAAAA4D8AAAAAAADgPwAAAAAAAOA/AAAAAAAA4D8AAAAAAADgPwAAAAAAAOA/AAAAAAAA4D8AAAAAAADgPwAAAAAAAOA/AAAAAAAA4D8CAAAAjAAAAAEAAAACAAAA////AAAAAAAAAAAAAAAAAAAAAAAAAAAAAAAAAAAAAAAAAAAAeAAAAAEAAABAAAAAAAAAAAAAAABaAAAAAAAAAAAAAAAAAAAAAAAAAAAAAAAAAAAAAAAAAAAAAAAAAAAAAAAAAAAAAAAAAAAAAAAAAAAAAAAAAAAAAAAAAAAAAAAAAAAAFAAAADwAAAAB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Bkrk8C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DgAAAAAAAAAEAAAADwAAAAAAIAEgRwAAAAAAAB8FAACxAwAAAAAAAA=="/>
            </a:ext>
          </a:extLst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62080" y="0"/>
          <a:ext cx="832485" cy="600075"/>
        </a:xfrm>
        <a:prstGeom prst="rect">
          <a:avLst/>
        </a:prstGeom>
        <a:blipFill>
          <a:blip xmlns:r="http://schemas.openxmlformats.org/officeDocument/2006/relationships"/>
          <a:srcRect/>
          <a:tile sx="100000" sy="100000" algn="tl"/>
        </a:blipFill>
        <a:ln w="9525" cap="flat">
          <a:solidFill>
            <a:srgbClr val="000000"/>
          </a:solidFill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152400</xdr:rowOff>
    </xdr:from>
    <xdr:to>
      <xdr:col>1</xdr:col>
      <xdr:colOff>1057275</xdr:colOff>
      <xdr:row>5</xdr:row>
      <xdr:rowOff>133350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PicPr>
          <a:picLocks noChangeAspect="1"/>
          <a:extLst>
            <a:ext uri="smNativeData">
              <pm:smNativeData xmlns:pm="smNativeData" xmlns="" val="SMDATA_15_RPqwY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AAAAADYD4AEFAAAAAQAAAFUCEgK0AAAA8AAAAE0HAACiBQAAAA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52400"/>
          <a:ext cx="1186815" cy="91567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>
    <xdr:from>
      <xdr:col>5</xdr:col>
      <xdr:colOff>323850</xdr:colOff>
      <xdr:row>11</xdr:row>
      <xdr:rowOff>104775</xdr:rowOff>
    </xdr:from>
    <xdr:to>
      <xdr:col>5</xdr:col>
      <xdr:colOff>628650</xdr:colOff>
      <xdr:row>11</xdr:row>
      <xdr:rowOff>114300</xdr:rowOff>
    </xdr:to>
    <xdr:sp macro="" textlink="" fLocksText="0">
      <xdr:nvSpPr>
        <xdr:cNvPr id="3" name="Line 7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SpPr>
          <a:extLst>
            <a:ext uri="smNativeData">
              <pm:smNativeData xmlns:pm="smNativeData" xmlns="" val="SMDATA_13_RPqwYhMAAAAlAAAACgAAAI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BAAAAAAAAAAAAAAAeAAAAAQAAACMAAAAjAAAAIwAAAB4AAAAAAAAAZAAAAGQAAAAC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AAAAAAeAAAAaAAAAAAAAAAAAAAAAAAAAAAAAAAAAAAAECcAABAnAAAAAAAAAAAAAAAAAAAAAAAAAAAAAAAAAAAAAAAAAAAAABQAAAAAAAAAwMD/AAAAAABkAAAAMgAAAAAAAABkAAAAAAAAAH9/fwAKAAAAIgAAABgAAAAAAAAAAAAAAAAAAAAAAAAAAAAAAAAAAAAkAAAAJAAAAAAAAAAHAAAAAAAAAAAAAAAAAAAAAAAAAAAAAAAAAAAAf39/ACUAAABYAAAAAAAAAAAAAAAAAAAAAAAAAAAAAAAAAAAAAAAAAAAAAAAAAAAAAAAAAAAAAAA/AAAAAAAAAKCGAQAAAAAAAAAAAAAAAAAMAAAAAQAAAAAAAAAAAAAAAAAAACEAAAAwAAAALAAAAAsAAAAFAAAAAALgAQsAAAAFAAAALwKkA14fAAAdDQAA4AEAAA8AAAAAAAAA"/>
            </a:ext>
          </a:extLst>
        </xdr:cNvSpPr>
      </xdr:nvSpPr>
      <xdr:spPr>
        <a:xfrm flipV="1">
          <a:off x="5099050" y="2131695"/>
          <a:ext cx="304800" cy="9525"/>
        </a:xfrm>
        <a:prstGeom prst="line">
          <a:avLst/>
        </a:prstGeom>
        <a:noFill/>
        <a:ln w="19050" cap="flat">
          <a:solidFill>
            <a:srgbClr val="000000"/>
          </a:solidFill>
          <a:prstDash val="solid"/>
          <a:headEnd type="none" w="med" len="med"/>
          <a:tailEnd type="triangle" w="med" len="med"/>
        </a:ln>
        <a:effectLst/>
      </xdr:spPr>
    </xdr:sp>
    <xdr:clientData/>
  </xdr:twoCellAnchor>
  <xdr:twoCellAnchor>
    <xdr:from>
      <xdr:col>12</xdr:col>
      <xdr:colOff>28575</xdr:colOff>
      <xdr:row>0</xdr:row>
      <xdr:rowOff>152400</xdr:rowOff>
    </xdr:from>
    <xdr:to>
      <xdr:col>13</xdr:col>
      <xdr:colOff>342900</xdr:colOff>
      <xdr:row>5</xdr:row>
      <xdr:rowOff>85725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  <a:extLst>
            <a:ext uri="smNativeData">
              <pm:smNativeData xmlns:pm="smNativeData" xmlns="" val="SMDATA_15_RPqwYhMAAAAlAAAAEQAAAK0AAAAAkAAAAEgAAACQAAAASAAAAAAAAAAAAAAAAAAAAAEAAABQAAAAAAAAAAAA4D8AAAAAAADgPwAAAAAAAOA/AAAAAAAA4D8AAAAAAADgPwAAAAAAAOA/AAAAAAAA4D8AAAAAAADgPwAAAAAAAOA/AAAAAAAA4D8CAAAAjAAAAAEAAAACAAAA////AAAAAAAAAAAAAAAAAAAAAAAAAAAAAAAAAAAAAAAAAAAAeAAAAAEAAABAAAAAAAAAAAAAAABaAAAAAAAAAAAAAAAAAAAAAAAAAAAAAAAAAAAAAAAAAAAAAAAAAAAAAAAAAAAAAAAAAAAAAAAAAAAAAAAAAAAAAAAAAAAAAAAAAAAAFAAAADwAAAAB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CDcM87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DAAAADYDJwAFAAAADQAAAIABiQFtPAAA8AAAAI8GAABXBQAAAAAAAA=="/>
            </a:ext>
          </a:extLst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22815" y="152400"/>
          <a:ext cx="1066165" cy="868045"/>
        </a:xfrm>
        <a:prstGeom prst="rect">
          <a:avLst/>
        </a:prstGeom>
        <a:blipFill>
          <a:blip xmlns:r="http://schemas.openxmlformats.org/officeDocument/2006/relationships"/>
          <a:srcRect/>
          <a:tile sx="100000" sy="100000" algn="tl"/>
        </a:blipFill>
        <a:ln w="9525" cap="flat">
          <a:solidFill>
            <a:srgbClr val="000000"/>
          </a:solidFill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152400</xdr:rowOff>
    </xdr:from>
    <xdr:to>
      <xdr:col>1</xdr:col>
      <xdr:colOff>1057910</xdr:colOff>
      <xdr:row>5</xdr:row>
      <xdr:rowOff>57150</xdr:rowOff>
    </xdr:to>
    <xdr:pic>
      <xdr:nvPicPr>
        <xdr:cNvPr id="4" name="Picture 2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/>
          <a:extLst>
            <a:ext uri="smNativeData">
              <pm:smNativeData xmlns:pm="smNativeData" xmlns="" val="SMDATA_15_RPqwY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D///8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AAAAAPICmwEFAAAAAQAAABsBvgG0AAAA8AAAAI4HAACWBQAAAA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52400"/>
          <a:ext cx="1228090" cy="90805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>
    <xdr:from>
      <xdr:col>5</xdr:col>
      <xdr:colOff>257175</xdr:colOff>
      <xdr:row>10</xdr:row>
      <xdr:rowOff>95250</xdr:rowOff>
    </xdr:from>
    <xdr:to>
      <xdr:col>5</xdr:col>
      <xdr:colOff>561975</xdr:colOff>
      <xdr:row>10</xdr:row>
      <xdr:rowOff>104775</xdr:rowOff>
    </xdr:to>
    <xdr:sp macro="" textlink="" fLocksText="0">
      <xdr:nvSpPr>
        <xdr:cNvPr id="3" name="Line 4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>
          <a:extLst>
            <a:ext uri="smNativeData">
              <pm:smNativeData xmlns:pm="smNativeData" xmlns="" val="SMDATA_13_RPqwYhMAAAAlAAAACgAAAI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BAAAAAAAAAAAAAAAeAAAAAQAAACMAAAAjAAAAIwAAAB4AAAAAAAAAZAAAAGQAAAAC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F8AYAAeAAAAaAAAAAAAAAAAAAAAAAAAAAAAAAAAAAAAECcAABAnAAAAAAAAAAAAAAAAAAAAAAAAAAAAAAAAAAAAAAAAAAAAABQAAAAAAAAAwMD/AAAAAABkAAAAMgAAAAAAAABkAAAAAAAAAH9/fwAKAAAAIgAAABgAAAAAAAAAAAAAAAAAAAAAAAAAAAAAAAAAAAAkAAAAJAAAAAAAAAAHAAAAAAAAAAAAAAAAAAAAAAAAAAAAAAAAAAAAf39/ACUAAABYAAAAAAAAAAAAAAAAAAAAAAAAAAAAAAAAAAAAAAAAAAAAAAAAAAAAAAAAAAAAAAA/AAAAAAAAAKCGAQAAAAAAAAAAAAAAAAAMAAAAAQAAAAAAAAAAAAAAAAAAACEAAAAwAAAALAAAAAoAAAAFAAAA2gFMAQoAAAAFAAAACQLWAuAjAADyDAAA4AEAAA8AAAAAAAAA"/>
            </a:ext>
          </a:extLst>
        </xdr:cNvSpPr>
      </xdr:nvSpPr>
      <xdr:spPr>
        <a:xfrm flipV="1">
          <a:off x="5831840" y="2104390"/>
          <a:ext cx="304800" cy="9525"/>
        </a:xfrm>
        <a:prstGeom prst="line">
          <a:avLst/>
        </a:prstGeom>
        <a:noFill/>
        <a:ln w="19050" cap="flat">
          <a:solidFill>
            <a:srgbClr val="000000"/>
          </a:solidFill>
          <a:prstDash val="solid"/>
          <a:headEnd type="none" w="med" len="med"/>
          <a:tailEnd type="triangle" w="med" len="med"/>
        </a:ln>
        <a:effectLst/>
      </xdr:spPr>
    </xdr:sp>
    <xdr:clientData/>
  </xdr:twoCellAnchor>
  <xdr:twoCellAnchor>
    <xdr:from>
      <xdr:col>13</xdr:col>
      <xdr:colOff>27940</xdr:colOff>
      <xdr:row>0</xdr:row>
      <xdr:rowOff>152400</xdr:rowOff>
    </xdr:from>
    <xdr:to>
      <xdr:col>14</xdr:col>
      <xdr:colOff>342900</xdr:colOff>
      <xdr:row>5</xdr:row>
      <xdr:rowOff>85725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/>
          <a:extLst>
            <a:ext uri="smNativeData">
              <pm:smNativeData xmlns:pm="smNativeData" xmlns="" val="SMDATA_15_RPqwYhMAAAAlAAAAEQAAAK0AAAAAkAAAAEgAAACQAAAASAAAAAAAAAAAAAAAAAAAAAEAAABQAAAAAAAAAAAA4D8AAAAAAADgPwAAAAAAAOA/AAAAAAAA4D8AAAAAAADgPwAAAAAAAOA/AAAAAAAA4D8AAAAAAADgPwAAAAAAAOA/AAAAAAAA4D8CAAAAjAAAAAEAAAACAAAA////AAAAAAAAAAAAAAAAAAAAAAAAAAAAAAAAAAAAAAAAAAAAeAAAAAEAAABAAAAAAAAAAAAAAABaAAAAAAAAAAAAAAAAAAAAAAAAAAAAAAAAAAAAAAAAAAAAAAAAAAAAAAAAAAAAAAAAAAAAAAAAAAAAAAAAAAAAAAAAAAAAAAAAAAAAFAAAADwAAAAB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D/////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DQAAAPICJwAFAAAADgAAAKgBsAF9QgAA8AAAAIAGAADDBQAAAAAAAA=="/>
            </a:ext>
          </a:extLst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08335" y="152400"/>
          <a:ext cx="1056640" cy="936625"/>
        </a:xfrm>
        <a:prstGeom prst="rect">
          <a:avLst/>
        </a:prstGeom>
        <a:blipFill>
          <a:blip xmlns:r="http://schemas.openxmlformats.org/officeDocument/2006/relationships"/>
          <a:srcRect/>
          <a:tile sx="100000" sy="100000" algn="tl"/>
        </a:blipFill>
        <a:ln w="9525" cap="flat">
          <a:solidFill>
            <a:srgbClr val="000000"/>
          </a:solidFill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 w="9525" cap="flat">
          <a:solidFill>
            <a:srgbClr val="000000"/>
          </a:solidFill>
          <a:prstDash val="solid"/>
          <a:headEnd type="none" w="med" len="med"/>
          <a:tailEnd type="none" w="med" len="med"/>
        </a:ln>
      </a:spPr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25"/>
  <sheetViews>
    <sheetView showGridLines="0" zoomScale="90" zoomScaleNormal="90" workbookViewId="0">
      <selection activeCell="I19" sqref="I19"/>
    </sheetView>
  </sheetViews>
  <sheetFormatPr defaultRowHeight="23.25" zeroHeight="1" x14ac:dyDescent="0.35"/>
  <cols>
    <col min="1" max="1" width="9.140625" style="19"/>
    <col min="2" max="2" width="15.140625" style="22" customWidth="1"/>
    <col min="3" max="3" width="24.28515625" style="19" customWidth="1"/>
    <col min="4" max="4" width="17.42578125" style="19" customWidth="1"/>
    <col min="5" max="5" width="20.140625" style="19" customWidth="1"/>
    <col min="6" max="6" width="18.42578125" style="19" customWidth="1"/>
    <col min="7" max="7" width="18.42578125" style="41" customWidth="1"/>
    <col min="8" max="8" width="18.42578125" style="19" customWidth="1"/>
    <col min="9" max="9" width="18" style="19" customWidth="1"/>
    <col min="10" max="10" width="9.140625" style="19" hidden="1"/>
    <col min="11" max="11" width="9.140625" style="41" hidden="1"/>
    <col min="12" max="12" width="16.5703125" style="19" customWidth="1"/>
    <col min="13" max="13" width="17.140625" style="19" customWidth="1"/>
    <col min="14" max="14" width="15.28515625" style="19" customWidth="1"/>
    <col min="15" max="16" width="9.140625" style="19"/>
    <col min="17" max="17" width="22.85546875" style="63" customWidth="1"/>
    <col min="18" max="18" width="28" style="19" customWidth="1"/>
    <col min="19" max="19" width="16.7109375" style="19" customWidth="1"/>
    <col min="20" max="20" width="9.140625" style="19"/>
    <col min="21" max="21" width="16.7109375" style="19" customWidth="1"/>
    <col min="22" max="16384" width="9.140625" style="19"/>
  </cols>
  <sheetData>
    <row r="1" spans="1:94" ht="15" customHeight="1" x14ac:dyDescent="0.35">
      <c r="A1" s="17"/>
      <c r="B1" s="18"/>
      <c r="C1" s="18"/>
      <c r="D1" s="18"/>
      <c r="E1" s="18"/>
      <c r="F1" s="18"/>
      <c r="G1" s="18"/>
      <c r="H1" s="18"/>
      <c r="I1" s="18"/>
      <c r="J1" s="18"/>
      <c r="K1" s="18"/>
      <c r="L1" s="23"/>
    </row>
    <row r="2" spans="1:94" ht="15.75" customHeight="1" x14ac:dyDescent="0.35">
      <c r="A2" s="567" t="s">
        <v>0</v>
      </c>
      <c r="B2" s="567"/>
      <c r="C2" s="567"/>
      <c r="D2" s="567"/>
      <c r="E2" s="567"/>
      <c r="F2" s="567"/>
      <c r="G2" s="567"/>
      <c r="H2" s="567"/>
      <c r="I2" s="567"/>
      <c r="J2" s="567"/>
      <c r="K2" s="567"/>
      <c r="L2" s="567"/>
    </row>
    <row r="3" spans="1:94" ht="12" customHeight="1" x14ac:dyDescent="0.35">
      <c r="A3" s="568" t="s">
        <v>1</v>
      </c>
      <c r="B3" s="568"/>
      <c r="C3" s="568"/>
      <c r="D3" s="568"/>
      <c r="E3" s="568"/>
      <c r="F3" s="568"/>
      <c r="G3" s="568"/>
      <c r="H3" s="568"/>
      <c r="I3" s="568"/>
      <c r="J3" s="568"/>
      <c r="K3" s="568"/>
      <c r="L3" s="568"/>
    </row>
    <row r="4" spans="1:94" ht="13.5" customHeight="1" x14ac:dyDescent="0.35">
      <c r="A4" s="569" t="s">
        <v>2</v>
      </c>
      <c r="B4" s="569"/>
      <c r="C4" s="569"/>
      <c r="D4" s="569"/>
      <c r="E4" s="569"/>
      <c r="F4" s="569"/>
      <c r="G4" s="569"/>
      <c r="H4" s="569"/>
      <c r="I4" s="569"/>
      <c r="J4" s="569"/>
      <c r="K4" s="569"/>
      <c r="L4" s="569"/>
    </row>
    <row r="5" spans="1:94" ht="15" customHeight="1" x14ac:dyDescent="0.35">
      <c r="A5" s="569" t="s">
        <v>3</v>
      </c>
      <c r="B5" s="569"/>
      <c r="C5" s="569"/>
      <c r="D5" s="569"/>
      <c r="E5" s="569"/>
      <c r="F5" s="569"/>
      <c r="G5" s="569"/>
      <c r="H5" s="569"/>
      <c r="I5" s="569"/>
      <c r="J5" s="569"/>
      <c r="K5" s="569"/>
      <c r="L5" s="569"/>
    </row>
    <row r="6" spans="1:94" ht="15" customHeight="1" x14ac:dyDescent="0.35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  <c r="L6" s="24"/>
    </row>
    <row r="7" spans="1:94" ht="15" customHeight="1" x14ac:dyDescent="0.35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Q7" s="564"/>
      <c r="R7" s="564"/>
    </row>
    <row r="8" spans="1:94" x14ac:dyDescent="0.35">
      <c r="A8" s="565" t="s">
        <v>4</v>
      </c>
      <c r="B8" s="565"/>
      <c r="C8" s="565"/>
      <c r="D8" s="565"/>
      <c r="E8" s="565"/>
      <c r="F8" s="565"/>
      <c r="G8" s="565"/>
      <c r="H8" s="565"/>
      <c r="I8" s="565"/>
      <c r="J8" s="565"/>
      <c r="K8" s="565"/>
      <c r="L8" s="565"/>
      <c r="M8" s="27"/>
      <c r="Q8" s="66">
        <f>I15</f>
        <v>181596</v>
      </c>
      <c r="R8" s="51" t="s">
        <v>5</v>
      </c>
    </row>
    <row r="9" spans="1:94" x14ac:dyDescent="0.35">
      <c r="A9" s="566" t="s">
        <v>6</v>
      </c>
      <c r="B9" s="566"/>
      <c r="C9" s="566"/>
      <c r="D9" s="566"/>
      <c r="E9" s="566"/>
      <c r="F9" s="566"/>
      <c r="G9" s="566"/>
      <c r="H9" s="566"/>
      <c r="I9" s="566"/>
      <c r="J9" s="566"/>
      <c r="K9" s="566"/>
      <c r="L9" s="566"/>
      <c r="Q9" s="66">
        <f>'Folha Efetivos'!U46+'Folha Comissionados'!H56+'Folha Cedidos'!S33</f>
        <v>174692.14999999997</v>
      </c>
      <c r="R9" s="51" t="s">
        <v>7</v>
      </c>
    </row>
    <row r="10" spans="1:94" x14ac:dyDescent="0.3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Q10" s="66">
        <f>'Resumo de INSS para a GECONF'!S46+'Resumo de INSS para a GECONF'!T46</f>
        <v>15373.144499999999</v>
      </c>
      <c r="R10" s="51" t="s">
        <v>8</v>
      </c>
    </row>
    <row r="11" spans="1:94" x14ac:dyDescent="0.3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Q11" s="66">
        <f>Q9+Q10</f>
        <v>190065.29449999996</v>
      </c>
      <c r="R11" s="51" t="s">
        <v>9</v>
      </c>
    </row>
    <row r="12" spans="1:94" s="29" customFormat="1" ht="48" customHeight="1" x14ac:dyDescent="0.25">
      <c r="B12" s="30" t="s">
        <v>10</v>
      </c>
      <c r="C12" s="30" t="s">
        <v>11</v>
      </c>
      <c r="D12" s="30" t="s">
        <v>12</v>
      </c>
      <c r="E12" s="30" t="s">
        <v>13</v>
      </c>
      <c r="F12" s="31" t="s">
        <v>14</v>
      </c>
      <c r="G12" s="31" t="s">
        <v>15</v>
      </c>
      <c r="H12" s="31" t="s">
        <v>16</v>
      </c>
      <c r="I12" s="30" t="s">
        <v>17</v>
      </c>
      <c r="Q12" s="64"/>
      <c r="R12" s="65"/>
    </row>
    <row r="13" spans="1:94" s="55" customFormat="1" x14ac:dyDescent="0.35">
      <c r="A13" s="52"/>
      <c r="B13" s="61">
        <v>1</v>
      </c>
      <c r="C13" s="59"/>
      <c r="D13" s="32"/>
      <c r="E13" s="33"/>
      <c r="F13" s="60"/>
      <c r="G13" s="53"/>
      <c r="H13" s="60"/>
      <c r="I13" s="33">
        <v>181000</v>
      </c>
      <c r="J13" s="54"/>
      <c r="K13" s="54"/>
      <c r="L13" s="397" t="s">
        <v>18</v>
      </c>
      <c r="M13" s="397"/>
      <c r="N13" s="397"/>
      <c r="O13" s="52"/>
      <c r="P13" s="52"/>
      <c r="Q13" s="63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</row>
    <row r="14" spans="1:94" x14ac:dyDescent="0.35">
      <c r="B14" s="35">
        <v>2</v>
      </c>
      <c r="C14" s="36"/>
      <c r="D14" s="37"/>
      <c r="E14" s="38"/>
      <c r="F14" s="36"/>
      <c r="G14" s="39"/>
      <c r="H14" s="36"/>
      <c r="I14" s="33">
        <v>181500</v>
      </c>
      <c r="J14" s="34"/>
      <c r="K14" s="34"/>
      <c r="L14" s="397" t="s">
        <v>18</v>
      </c>
      <c r="M14" s="398"/>
      <c r="N14" s="398"/>
    </row>
    <row r="15" spans="1:94" x14ac:dyDescent="0.35">
      <c r="B15" s="61">
        <v>3</v>
      </c>
      <c r="C15" s="36"/>
      <c r="D15" s="37"/>
      <c r="E15" s="38"/>
      <c r="F15" s="36"/>
      <c r="G15" s="39"/>
      <c r="H15" s="36"/>
      <c r="I15" s="38">
        <v>181596</v>
      </c>
      <c r="J15" s="34"/>
      <c r="K15" s="34"/>
      <c r="L15" s="397" t="s">
        <v>18</v>
      </c>
      <c r="M15" s="398"/>
      <c r="N15" s="398"/>
    </row>
    <row r="16" spans="1:94" x14ac:dyDescent="0.35">
      <c r="B16" s="35">
        <v>4</v>
      </c>
      <c r="C16" s="39"/>
      <c r="D16" s="37"/>
      <c r="E16" s="38"/>
      <c r="F16" s="39"/>
      <c r="G16" s="39"/>
      <c r="H16" s="39"/>
      <c r="I16" s="62">
        <v>181596</v>
      </c>
      <c r="J16" s="40"/>
      <c r="K16" s="40"/>
      <c r="L16" s="397" t="s">
        <v>18</v>
      </c>
      <c r="M16" s="398"/>
      <c r="N16" s="398"/>
    </row>
    <row r="17" spans="2:21" x14ac:dyDescent="0.35">
      <c r="B17" s="61">
        <v>5</v>
      </c>
      <c r="C17" s="39"/>
      <c r="D17" s="37"/>
      <c r="E17" s="38"/>
      <c r="F17" s="39"/>
      <c r="G17" s="39"/>
      <c r="H17" s="39"/>
      <c r="I17" s="62">
        <v>179500</v>
      </c>
      <c r="J17" s="40"/>
      <c r="K17" s="40"/>
      <c r="L17" s="397" t="s">
        <v>18</v>
      </c>
      <c r="M17" s="398"/>
      <c r="N17" s="398"/>
    </row>
    <row r="18" spans="2:21" x14ac:dyDescent="0.35">
      <c r="B18" s="35">
        <v>6</v>
      </c>
      <c r="C18" s="39"/>
      <c r="D18" s="37"/>
      <c r="E18" s="38"/>
      <c r="F18" s="39"/>
      <c r="G18" s="39"/>
      <c r="H18" s="39"/>
      <c r="I18" s="38">
        <v>179500</v>
      </c>
      <c r="J18" s="40"/>
      <c r="K18" s="40"/>
      <c r="L18" s="397" t="s">
        <v>18</v>
      </c>
      <c r="M18" s="398"/>
      <c r="N18" s="398"/>
    </row>
    <row r="19" spans="2:21" x14ac:dyDescent="0.35">
      <c r="B19" s="61">
        <v>7</v>
      </c>
      <c r="C19" s="39"/>
      <c r="D19" s="37"/>
      <c r="E19" s="38"/>
      <c r="F19" s="36"/>
      <c r="G19" s="39"/>
      <c r="H19" s="36"/>
      <c r="I19" s="38">
        <v>181000</v>
      </c>
      <c r="L19" s="397" t="s">
        <v>18</v>
      </c>
      <c r="M19" s="398"/>
      <c r="N19" s="398"/>
    </row>
    <row r="20" spans="2:21" x14ac:dyDescent="0.35">
      <c r="B20" s="35">
        <v>8</v>
      </c>
      <c r="C20" s="36"/>
      <c r="D20" s="37"/>
      <c r="E20" s="38"/>
      <c r="F20" s="39"/>
      <c r="G20" s="39"/>
      <c r="H20" s="39"/>
      <c r="I20" s="38"/>
      <c r="J20" s="41"/>
      <c r="L20" s="397" t="s">
        <v>18</v>
      </c>
      <c r="M20" s="47"/>
      <c r="N20" s="47"/>
      <c r="U20" s="42"/>
    </row>
    <row r="21" spans="2:21" x14ac:dyDescent="0.35">
      <c r="B21" s="61">
        <v>9</v>
      </c>
      <c r="C21" s="42"/>
      <c r="D21" s="37"/>
      <c r="E21" s="38"/>
      <c r="F21" s="39"/>
      <c r="G21" s="39"/>
      <c r="H21" s="39"/>
      <c r="I21" s="38"/>
      <c r="L21" s="397" t="s">
        <v>18</v>
      </c>
    </row>
    <row r="22" spans="2:21" x14ac:dyDescent="0.35">
      <c r="B22" s="35">
        <v>10</v>
      </c>
      <c r="C22" s="36"/>
      <c r="D22" s="43"/>
      <c r="E22" s="43"/>
      <c r="F22" s="36"/>
      <c r="G22" s="39"/>
      <c r="H22" s="36"/>
      <c r="I22" s="38"/>
      <c r="J22" s="44"/>
      <c r="K22" s="44"/>
      <c r="R22" s="220"/>
      <c r="S22" s="42"/>
    </row>
    <row r="23" spans="2:21" x14ac:dyDescent="0.35">
      <c r="B23" s="61">
        <v>11</v>
      </c>
      <c r="C23" s="36"/>
      <c r="D23" s="43"/>
      <c r="E23" s="43"/>
      <c r="F23" s="36"/>
      <c r="G23" s="39"/>
      <c r="H23" s="36"/>
      <c r="I23" s="38"/>
      <c r="J23" s="44"/>
      <c r="K23" s="44"/>
    </row>
    <row r="24" spans="2:21" x14ac:dyDescent="0.35">
      <c r="B24" s="35">
        <v>12</v>
      </c>
      <c r="C24" s="36"/>
      <c r="D24" s="43"/>
      <c r="E24" s="43"/>
      <c r="F24" s="36"/>
      <c r="G24" s="50"/>
      <c r="H24" s="36"/>
      <c r="I24" s="38"/>
      <c r="J24" s="44"/>
      <c r="K24" s="44"/>
    </row>
    <row r="25" spans="2:21" x14ac:dyDescent="0.35">
      <c r="B25" s="35">
        <v>13</v>
      </c>
      <c r="C25" s="36"/>
      <c r="D25" s="43"/>
      <c r="E25" s="43"/>
      <c r="F25" s="48"/>
      <c r="G25" s="51"/>
      <c r="H25" s="49"/>
      <c r="I25" s="38"/>
      <c r="J25" s="44"/>
      <c r="K25" s="44"/>
      <c r="L25" s="19" t="s">
        <v>19</v>
      </c>
    </row>
  </sheetData>
  <mergeCells count="7">
    <mergeCell ref="Q7:R7"/>
    <mergeCell ref="A8:L8"/>
    <mergeCell ref="A9:L9"/>
    <mergeCell ref="A2:L2"/>
    <mergeCell ref="A3:L3"/>
    <mergeCell ref="A4:L4"/>
    <mergeCell ref="A5:L5"/>
  </mergeCells>
  <pageMargins left="0.17013900000000001" right="0.17013900000000001" top="0.309722" bottom="0.78749999999999998" header="0.51180599999999998" footer="0.51180599999999998"/>
  <pageSetup paperSize="9" fitToWidth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W181"/>
  <sheetViews>
    <sheetView showGridLines="0" zoomScale="80" zoomScaleNormal="80" workbookViewId="0">
      <pane xSplit="2" ySplit="14" topLeftCell="J39" activePane="bottomRight" state="frozen"/>
      <selection pane="topRight"/>
      <selection pane="bottomLeft"/>
      <selection pane="bottomRight" activeCell="J52" sqref="J52"/>
    </sheetView>
  </sheetViews>
  <sheetFormatPr defaultRowHeight="6.75" customHeight="1" x14ac:dyDescent="0.25"/>
  <cols>
    <col min="1" max="1" width="5.140625" style="113" customWidth="1"/>
    <col min="2" max="2" width="37.7109375" style="218" customWidth="1"/>
    <col min="3" max="3" width="14.42578125" style="113" customWidth="1"/>
    <col min="4" max="4" width="72.28515625" style="113" customWidth="1"/>
    <col min="5" max="5" width="72" style="113" customWidth="1"/>
    <col min="6" max="6" width="9.85546875" style="113" customWidth="1"/>
    <col min="7" max="7" width="7.85546875" style="113" customWidth="1"/>
    <col min="8" max="8" width="16.42578125" style="113" customWidth="1"/>
    <col min="9" max="9" width="18.7109375" style="113" customWidth="1"/>
    <col min="10" max="10" width="13" style="113" customWidth="1"/>
    <col min="11" max="11" width="13" style="176" customWidth="1"/>
    <col min="12" max="12" width="10.85546875" style="113" customWidth="1"/>
    <col min="13" max="13" width="17.42578125" style="113" customWidth="1"/>
    <col min="14" max="14" width="14.42578125" style="113" customWidth="1"/>
    <col min="15" max="15" width="15.42578125" style="113" customWidth="1"/>
    <col min="16" max="16" width="17.7109375" style="113" bestFit="1" customWidth="1"/>
    <col min="17" max="17" width="15" style="113" customWidth="1"/>
    <col min="18" max="18" width="13.140625" style="113" customWidth="1"/>
    <col min="19" max="19" width="11.42578125" style="113" customWidth="1"/>
    <col min="20" max="20" width="14.85546875" style="178" bestFit="1" customWidth="1"/>
    <col min="21" max="21" width="15.28515625" style="179" customWidth="1"/>
    <col min="22" max="22" width="13.42578125" style="178" customWidth="1"/>
    <col min="23" max="26" width="15.28515625" style="113" customWidth="1"/>
    <col min="27" max="27" width="14.28515625" style="113" customWidth="1"/>
    <col min="28" max="28" width="16" style="178" bestFit="1" customWidth="1"/>
    <col min="29" max="29" width="16" style="178" customWidth="1"/>
    <col min="30" max="30" width="16" style="113" customWidth="1"/>
    <col min="31" max="31" width="13" style="113" customWidth="1"/>
    <col min="32" max="32" width="12.5703125" style="113" customWidth="1"/>
    <col min="33" max="33" width="11.85546875" style="113" customWidth="1"/>
    <col min="34" max="34" width="10.28515625" style="113" customWidth="1"/>
    <col min="35" max="16384" width="9.140625" style="113"/>
  </cols>
  <sheetData>
    <row r="1" spans="1:33" ht="15" customHeight="1" x14ac:dyDescent="0.25">
      <c r="A1" s="114"/>
      <c r="B1" s="211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115"/>
      <c r="P1" s="115"/>
      <c r="Q1" s="115"/>
      <c r="R1" s="115"/>
      <c r="S1" s="115"/>
      <c r="T1" s="116"/>
      <c r="U1" s="117"/>
      <c r="V1" s="118"/>
      <c r="W1" s="29"/>
      <c r="X1" s="29"/>
      <c r="Y1" s="29"/>
      <c r="Z1" s="29"/>
      <c r="AA1" s="29"/>
      <c r="AB1" s="118"/>
      <c r="AC1" s="118"/>
      <c r="AD1" s="29"/>
      <c r="AE1" s="29"/>
    </row>
    <row r="2" spans="1:33" ht="15.75" customHeight="1" x14ac:dyDescent="0.25">
      <c r="A2" s="570" t="s">
        <v>0</v>
      </c>
      <c r="B2" s="571"/>
      <c r="C2" s="571"/>
      <c r="D2" s="571"/>
      <c r="E2" s="571"/>
      <c r="F2" s="571"/>
      <c r="G2" s="571"/>
      <c r="H2" s="571"/>
      <c r="I2" s="571"/>
      <c r="J2" s="571"/>
      <c r="K2" s="571"/>
      <c r="L2" s="571"/>
      <c r="M2" s="571"/>
      <c r="N2" s="571"/>
      <c r="O2" s="571"/>
      <c r="P2" s="571"/>
      <c r="Q2" s="571"/>
      <c r="R2" s="571"/>
      <c r="S2" s="571"/>
      <c r="T2" s="572"/>
      <c r="U2" s="117"/>
      <c r="V2" s="118"/>
      <c r="W2" s="29"/>
      <c r="X2" s="29"/>
      <c r="Y2" s="29"/>
      <c r="Z2" s="29"/>
      <c r="AA2" s="29"/>
      <c r="AB2" s="118"/>
      <c r="AC2" s="118"/>
      <c r="AD2" s="29"/>
      <c r="AE2" s="29"/>
    </row>
    <row r="3" spans="1:33" ht="14.25" customHeight="1" x14ac:dyDescent="0.25">
      <c r="A3" s="573" t="s">
        <v>1</v>
      </c>
      <c r="B3" s="574"/>
      <c r="C3" s="574"/>
      <c r="D3" s="574"/>
      <c r="E3" s="574"/>
      <c r="F3" s="574"/>
      <c r="G3" s="574"/>
      <c r="H3" s="574"/>
      <c r="I3" s="574"/>
      <c r="J3" s="574"/>
      <c r="K3" s="574"/>
      <c r="L3" s="574"/>
      <c r="M3" s="574"/>
      <c r="N3" s="574"/>
      <c r="O3" s="574"/>
      <c r="P3" s="574"/>
      <c r="Q3" s="574"/>
      <c r="R3" s="574"/>
      <c r="S3" s="574"/>
      <c r="T3" s="575"/>
      <c r="U3" s="117"/>
      <c r="V3" s="119"/>
      <c r="W3" s="29"/>
      <c r="X3" s="29"/>
      <c r="Y3" s="29"/>
      <c r="Z3" s="29"/>
      <c r="AA3" s="29"/>
      <c r="AB3" s="118"/>
      <c r="AC3" s="118"/>
      <c r="AD3" s="29"/>
      <c r="AE3" s="29"/>
    </row>
    <row r="4" spans="1:33" ht="14.25" customHeight="1" x14ac:dyDescent="0.25">
      <c r="A4" s="576" t="s">
        <v>2</v>
      </c>
      <c r="B4" s="577"/>
      <c r="C4" s="577"/>
      <c r="D4" s="577"/>
      <c r="E4" s="577"/>
      <c r="F4" s="577"/>
      <c r="G4" s="577"/>
      <c r="H4" s="577"/>
      <c r="I4" s="577"/>
      <c r="J4" s="577"/>
      <c r="K4" s="577"/>
      <c r="L4" s="577"/>
      <c r="M4" s="577"/>
      <c r="N4" s="577"/>
      <c r="O4" s="577"/>
      <c r="P4" s="577"/>
      <c r="Q4" s="577"/>
      <c r="R4" s="577"/>
      <c r="S4" s="577"/>
      <c r="T4" s="578"/>
      <c r="U4" s="117"/>
      <c r="V4" s="118"/>
      <c r="W4" s="29"/>
      <c r="X4" s="29"/>
      <c r="Y4" s="29"/>
      <c r="Z4" s="29"/>
      <c r="AA4" s="29"/>
      <c r="AB4" s="118"/>
      <c r="AC4" s="118"/>
      <c r="AD4" s="29"/>
      <c r="AE4" s="29"/>
    </row>
    <row r="5" spans="1:33" ht="14.25" customHeight="1" x14ac:dyDescent="0.25">
      <c r="A5" s="576" t="s">
        <v>2</v>
      </c>
      <c r="B5" s="577"/>
      <c r="C5" s="577"/>
      <c r="D5" s="577"/>
      <c r="E5" s="577"/>
      <c r="F5" s="577"/>
      <c r="G5" s="577"/>
      <c r="H5" s="577"/>
      <c r="I5" s="577"/>
      <c r="J5" s="577"/>
      <c r="K5" s="577"/>
      <c r="L5" s="577"/>
      <c r="M5" s="577"/>
      <c r="N5" s="577"/>
      <c r="O5" s="577"/>
      <c r="P5" s="577"/>
      <c r="Q5" s="577"/>
      <c r="R5" s="577"/>
      <c r="S5" s="577"/>
      <c r="T5" s="578"/>
      <c r="U5" s="117"/>
      <c r="V5" s="118"/>
      <c r="W5" s="29"/>
      <c r="X5" s="29"/>
      <c r="Y5" s="120">
        <f>T15+AB15+AC15</f>
        <v>445.36775000000006</v>
      </c>
      <c r="Z5" s="29"/>
      <c r="AA5" s="29"/>
      <c r="AB5" s="118"/>
      <c r="AC5" s="118"/>
      <c r="AD5" s="29"/>
      <c r="AE5" s="29"/>
    </row>
    <row r="6" spans="1:33" ht="15" customHeight="1" x14ac:dyDescent="0.25">
      <c r="A6" s="121"/>
      <c r="B6" s="212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22"/>
      <c r="P6" s="122"/>
      <c r="Q6" s="122"/>
      <c r="R6" s="122"/>
      <c r="S6" s="122"/>
      <c r="T6" s="123"/>
      <c r="U6" s="117"/>
      <c r="V6" s="118"/>
      <c r="W6" s="29"/>
      <c r="X6" s="29"/>
      <c r="Y6" s="29"/>
      <c r="Z6" s="29"/>
      <c r="AA6" s="29">
        <f>2190.5-284.76</f>
        <v>1905.74</v>
      </c>
      <c r="AB6" s="118"/>
      <c r="AC6" s="118"/>
      <c r="AD6" s="29"/>
      <c r="AE6" s="29"/>
    </row>
    <row r="7" spans="1:33" ht="6" customHeight="1" x14ac:dyDescent="0.25">
      <c r="A7" s="101"/>
      <c r="B7" s="213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24"/>
      <c r="U7" s="117"/>
      <c r="V7" s="118"/>
      <c r="W7" s="29"/>
      <c r="X7" s="29"/>
      <c r="Y7" s="29"/>
      <c r="Z7" s="29"/>
      <c r="AA7" s="29"/>
      <c r="AB7" s="118"/>
      <c r="AC7" s="118"/>
      <c r="AD7" s="29"/>
      <c r="AE7" s="29"/>
    </row>
    <row r="8" spans="1:33" ht="28.5" customHeight="1" x14ac:dyDescent="0.25">
      <c r="A8" s="579" t="s">
        <v>20</v>
      </c>
      <c r="B8" s="579"/>
      <c r="C8" s="579"/>
      <c r="D8" s="579"/>
      <c r="E8" s="579"/>
      <c r="F8" s="579"/>
      <c r="G8" s="579"/>
      <c r="H8" s="579"/>
      <c r="I8" s="579"/>
      <c r="J8" s="579"/>
      <c r="K8" s="579"/>
      <c r="L8" s="273"/>
      <c r="M8" s="273"/>
      <c r="N8" s="273"/>
      <c r="O8" s="273"/>
      <c r="P8" s="273"/>
      <c r="Q8" s="273"/>
      <c r="R8" s="273"/>
      <c r="S8" s="273"/>
      <c r="T8" s="273"/>
      <c r="U8" s="117"/>
      <c r="V8" s="118"/>
      <c r="W8" s="125"/>
      <c r="X8" s="125"/>
      <c r="Y8" s="29"/>
      <c r="Z8" s="29"/>
      <c r="AA8" s="29"/>
      <c r="AB8" s="118"/>
      <c r="AC8" s="118"/>
      <c r="AD8" s="29"/>
      <c r="AE8" s="29"/>
    </row>
    <row r="9" spans="1:33" ht="6.75" customHeight="1" x14ac:dyDescent="0.25">
      <c r="A9" s="29"/>
      <c r="B9" s="214"/>
      <c r="C9" s="29"/>
      <c r="D9" s="29"/>
      <c r="E9" s="29"/>
      <c r="F9" s="29"/>
      <c r="G9" s="29"/>
      <c r="H9" s="29"/>
      <c r="I9" s="29"/>
      <c r="J9" s="29"/>
      <c r="K9" s="126"/>
      <c r="L9" s="29"/>
      <c r="M9" s="29"/>
      <c r="N9" s="29"/>
      <c r="O9" s="29"/>
      <c r="P9" s="29"/>
      <c r="Q9" s="29"/>
      <c r="R9" s="29"/>
      <c r="S9" s="29"/>
      <c r="T9" s="118"/>
      <c r="U9" s="117"/>
      <c r="V9" s="118"/>
      <c r="W9" s="29"/>
      <c r="X9" s="29"/>
      <c r="Y9" s="29"/>
      <c r="Z9" s="29"/>
      <c r="AA9" s="29"/>
      <c r="AB9" s="118"/>
      <c r="AC9" s="118"/>
      <c r="AD9" s="29"/>
      <c r="AE9" s="29"/>
    </row>
    <row r="10" spans="1:33" ht="15.75" customHeight="1" x14ac:dyDescent="0.25">
      <c r="A10" s="29"/>
      <c r="B10" s="215" t="s">
        <v>21</v>
      </c>
      <c r="C10" s="102"/>
      <c r="D10" s="102"/>
      <c r="E10" s="584">
        <v>45839</v>
      </c>
      <c r="F10" s="584"/>
      <c r="G10" s="29"/>
      <c r="H10" s="127" t="s">
        <v>22</v>
      </c>
      <c r="I10" s="128">
        <f>LOOKUP(MONTH(E10),'Cadastro - Receitas'!B12:I25)</f>
        <v>181000</v>
      </c>
      <c r="J10" s="29"/>
      <c r="K10" s="126"/>
      <c r="L10" s="29"/>
      <c r="M10" s="29"/>
      <c r="N10" s="29"/>
      <c r="O10" s="29"/>
      <c r="P10" s="29"/>
      <c r="Q10" s="29"/>
      <c r="R10" s="29"/>
      <c r="S10" s="29"/>
      <c r="T10" s="118"/>
      <c r="U10" s="117"/>
      <c r="V10" s="118"/>
      <c r="W10" s="29"/>
      <c r="X10" s="29"/>
      <c r="Y10" s="29"/>
      <c r="Z10" s="29"/>
      <c r="AA10" s="29"/>
      <c r="AB10" s="118"/>
      <c r="AC10" s="118"/>
      <c r="AD10" s="29"/>
      <c r="AE10" s="29"/>
    </row>
    <row r="11" spans="1:33" ht="5.25" customHeight="1" x14ac:dyDescent="0.25">
      <c r="A11" s="29"/>
      <c r="B11" s="214"/>
      <c r="C11" s="29"/>
      <c r="D11" s="29"/>
      <c r="E11" s="29"/>
      <c r="F11" s="129"/>
      <c r="G11" s="29"/>
      <c r="H11" s="29"/>
      <c r="I11" s="130"/>
      <c r="J11" s="29"/>
      <c r="K11" s="126"/>
      <c r="L11" s="29"/>
      <c r="M11" s="29"/>
      <c r="N11" s="29"/>
      <c r="O11" s="29"/>
      <c r="P11" s="29"/>
      <c r="Q11" s="29"/>
      <c r="R11" s="29"/>
      <c r="S11" s="29"/>
      <c r="T11" s="118"/>
      <c r="U11" s="117"/>
      <c r="V11" s="118"/>
      <c r="W11" s="29"/>
      <c r="X11" s="29"/>
      <c r="Y11" s="29"/>
      <c r="Z11" s="29"/>
      <c r="AA11" s="29"/>
      <c r="AB11" s="118"/>
      <c r="AC11" s="118"/>
      <c r="AD11" s="29"/>
      <c r="AE11" s="29"/>
    </row>
    <row r="12" spans="1:33" ht="15" customHeight="1" x14ac:dyDescent="0.25">
      <c r="A12" s="585" t="s">
        <v>23</v>
      </c>
      <c r="B12" s="586"/>
      <c r="C12" s="586"/>
      <c r="D12" s="586"/>
      <c r="E12" s="586"/>
      <c r="F12" s="586"/>
      <c r="G12" s="586"/>
      <c r="H12" s="586"/>
      <c r="I12" s="586"/>
      <c r="J12" s="586"/>
      <c r="K12" s="586"/>
      <c r="L12" s="586"/>
      <c r="M12" s="587"/>
      <c r="N12" s="588" t="s">
        <v>24</v>
      </c>
      <c r="O12" s="589"/>
      <c r="P12" s="590"/>
      <c r="Q12" s="588" t="s">
        <v>25</v>
      </c>
      <c r="R12" s="589"/>
      <c r="S12" s="589"/>
      <c r="T12" s="590"/>
      <c r="U12" s="580" t="s">
        <v>26</v>
      </c>
      <c r="V12" s="580"/>
      <c r="W12" s="580"/>
      <c r="X12" s="580"/>
      <c r="Y12" s="580"/>
      <c r="Z12" s="580" t="s">
        <v>27</v>
      </c>
      <c r="AA12" s="580"/>
      <c r="AB12" s="580"/>
      <c r="AC12" s="581" t="s">
        <v>28</v>
      </c>
      <c r="AD12" s="582"/>
      <c r="AE12" s="131"/>
    </row>
    <row r="13" spans="1:33" s="460" customFormat="1" ht="38.25" customHeight="1" x14ac:dyDescent="0.25">
      <c r="A13" s="56" t="s">
        <v>29</v>
      </c>
      <c r="B13" s="216" t="s">
        <v>30</v>
      </c>
      <c r="C13" s="56" t="s">
        <v>31</v>
      </c>
      <c r="D13" s="56" t="s">
        <v>32</v>
      </c>
      <c r="E13" s="56" t="s">
        <v>33</v>
      </c>
      <c r="F13" s="56" t="s">
        <v>34</v>
      </c>
      <c r="G13" s="56" t="s">
        <v>35</v>
      </c>
      <c r="H13" s="56" t="s">
        <v>36</v>
      </c>
      <c r="I13" s="56" t="s">
        <v>37</v>
      </c>
      <c r="J13" s="56" t="s">
        <v>38</v>
      </c>
      <c r="K13" s="56" t="s">
        <v>39</v>
      </c>
      <c r="L13" s="57" t="s">
        <v>40</v>
      </c>
      <c r="M13" s="58" t="s">
        <v>41</v>
      </c>
      <c r="N13" s="272" t="s">
        <v>42</v>
      </c>
      <c r="O13" s="272" t="s">
        <v>43</v>
      </c>
      <c r="P13" s="96" t="s">
        <v>44</v>
      </c>
      <c r="Q13" s="272" t="s">
        <v>45</v>
      </c>
      <c r="R13" s="272" t="s">
        <v>46</v>
      </c>
      <c r="S13" s="272" t="s">
        <v>47</v>
      </c>
      <c r="T13" s="272" t="s">
        <v>48</v>
      </c>
      <c r="U13" s="94" t="s">
        <v>42</v>
      </c>
      <c r="V13" s="94" t="s">
        <v>49</v>
      </c>
      <c r="W13" s="94" t="s">
        <v>50</v>
      </c>
      <c r="X13" s="94" t="s">
        <v>51</v>
      </c>
      <c r="Y13" s="94" t="s">
        <v>52</v>
      </c>
      <c r="Z13" s="94" t="s">
        <v>53</v>
      </c>
      <c r="AA13" s="94" t="s">
        <v>54</v>
      </c>
      <c r="AB13" s="97" t="s">
        <v>55</v>
      </c>
      <c r="AC13" s="98" t="s">
        <v>28</v>
      </c>
      <c r="AD13" s="56" t="s">
        <v>56</v>
      </c>
      <c r="AE13" s="93" t="s">
        <v>57</v>
      </c>
      <c r="AF13" s="95" t="s">
        <v>58</v>
      </c>
      <c r="AG13" s="95" t="s">
        <v>59</v>
      </c>
    </row>
    <row r="14" spans="1:33" s="461" customFormat="1" ht="15" customHeight="1" x14ac:dyDescent="0.25">
      <c r="A14" s="103">
        <v>1</v>
      </c>
      <c r="B14" s="523" t="s">
        <v>60</v>
      </c>
      <c r="C14" s="303">
        <v>41365</v>
      </c>
      <c r="D14" s="104" t="s">
        <v>61</v>
      </c>
      <c r="E14" s="103" t="s">
        <v>62</v>
      </c>
      <c r="F14" s="103" t="s">
        <v>63</v>
      </c>
      <c r="G14" s="103" t="s">
        <v>64</v>
      </c>
      <c r="H14" s="103" t="s">
        <v>65</v>
      </c>
      <c r="I14" s="103" t="s">
        <v>66</v>
      </c>
      <c r="J14" s="103" t="s">
        <v>67</v>
      </c>
      <c r="K14" s="103" t="s">
        <v>68</v>
      </c>
      <c r="L14" s="304">
        <v>1.1499999999999999</v>
      </c>
      <c r="M14" s="132">
        <f t="shared" ref="M14:M58" si="0">$I$10*L14%</f>
        <v>2081.5</v>
      </c>
      <c r="N14" s="305"/>
      <c r="O14" s="133">
        <f t="shared" ref="O14:O58" si="1">$I$10*L14%</f>
        <v>2081.5</v>
      </c>
      <c r="P14" s="293">
        <f t="shared" ref="P14:P45" si="2">N14+O14</f>
        <v>2081.5</v>
      </c>
      <c r="Q14" s="133">
        <f>IF(OR($G14="EST",$G14="EFE"),0,IF($P14&gt;='Tabelas INSS e IR'!$B$8,'Tabelas INSS e IR'!$D$8,IF($P14&gt;='Tabelas INSS e IR'!$B$7,($P14*'Tabelas INSS e IR'!$D$7)-'Tabelas INSS e IR'!$E$7,IF($P14&gt;='Tabelas INSS e IR'!$B$6,($P14*'Tabelas INSS e IR'!$D$6)-'Tabelas INSS e IR'!$E$6,IF($P14&gt;='Tabelas INSS e IR'!$B$5,($P14*'Tabelas INSS e IR'!$D$5)-'Tabelas INSS e IR'!$E$5,$P14*'Tabelas INSS e IR'!$D$4)))))</f>
        <v>164.56499999999997</v>
      </c>
      <c r="R14" s="133">
        <f>IF(OR($G14="EST",$G14="EFE"),0,IF($N14&gt;='Tabelas INSS e IR'!$B$8,'Tabelas INSS e IR'!$D$8,IF($N14&gt;='Tabelas INSS e IR'!$B$7,($N14*'Tabelas INSS e IR'!$D$7)-'Tabelas INSS e IR'!$E$7,IF($N14&gt;='Tabelas INSS e IR'!$B$6,($N14*'Tabelas INSS e IR'!$D$6)-'Tabelas INSS e IR'!$E$6,IF($N14&gt;='Tabelas INSS e IR'!$B$5,($N14*'Tabelas INSS e IR'!$D$5)-'Tabelas INSS e IR'!$E$5,$N14*'Tabelas INSS e IR'!$D$4)))))</f>
        <v>0</v>
      </c>
      <c r="S14" s="133"/>
      <c r="T14" s="294">
        <f>(IF(OR($G14="EST",$G14="EFE"),0,IF((Q14+S14)&gt;'Tabelas INSS e IR'!$D$8,'Tabelas INSS e IR'!$D$8-(S14+R14),(Q14-R14))))</f>
        <v>164.56499999999997</v>
      </c>
      <c r="U14" s="302"/>
      <c r="V14" s="137"/>
      <c r="W14" s="247">
        <f t="shared" ref="W14:W45" si="3">U14-V14</f>
        <v>0</v>
      </c>
      <c r="X14" s="291">
        <f t="shared" ref="X14:X45" si="4">O14-T14</f>
        <v>1916.9349999999999</v>
      </c>
      <c r="Y14" s="133">
        <f t="shared" ref="Y14:Y45" si="5">W14+X14</f>
        <v>1916.9349999999999</v>
      </c>
      <c r="Z14" s="133">
        <f>IF($Y14&lt;'Tabelas INSS e IR'!$H$5,0,IF($Y14&lt;'Tabelas INSS e IR'!$H$6,($Y14*'Tabelas INSS e IR'!$J$5)-'Tabelas INSS e IR'!$K$5,IF($Y14&lt;'Tabelas INSS e IR'!$H$7,($Y14*'Tabelas INSS e IR'!$J$6)-'Tabelas INSS e IR'!$K$6,IF($Y14&lt;'Tabelas INSS e IR'!$H$8,($Y14*'Tabelas INSS e IR'!$J$7)-'Tabelas INSS e IR'!$K$7,($Y14*'Tabelas INSS e IR'!$J$8)-'Tabelas INSS e IR'!$K$8))))</f>
        <v>0</v>
      </c>
      <c r="AA14" s="133">
        <f>IF($W14&lt;'Tabelas INSS e IR'!$H$5,0,IF($W14&lt;'Tabelas INSS e IR'!$H$6,($W14*'Tabelas INSS e IR'!$J$5)-'Tabelas INSS e IR'!$K$5,IF($W14&lt;'Tabelas INSS e IR'!$H$7,($W14*'Tabelas INSS e IR'!$J$6)-'Tabelas INSS e IR'!$K$6,IF($W14&lt;'Tabelas INSS e IR'!$H$8,($W14*'Tabelas INSS e IR'!$J$7)-'Tabelas INSS e IR'!$K$7,($W14*'Tabelas INSS e IR'!$J$8)-'Tabelas INSS e IR'!$K$8))))</f>
        <v>0</v>
      </c>
      <c r="AB14" s="294">
        <f t="shared" ref="AB14:AB45" si="6">Z14-AA14</f>
        <v>0</v>
      </c>
      <c r="AC14" s="295"/>
      <c r="AD14" s="292"/>
      <c r="AE14" s="296"/>
      <c r="AF14" s="297">
        <f t="shared" ref="AF14:AF45" si="7">T14+AB14+AC14</f>
        <v>164.56499999999997</v>
      </c>
      <c r="AG14" s="297">
        <f t="shared" ref="AG14:AG45" si="8">O14-AF14</f>
        <v>1916.9349999999999</v>
      </c>
    </row>
    <row r="15" spans="1:33" s="461" customFormat="1" ht="15" customHeight="1" x14ac:dyDescent="0.25">
      <c r="A15" s="104">
        <v>2</v>
      </c>
      <c r="B15" s="403" t="s">
        <v>69</v>
      </c>
      <c r="C15" s="135">
        <v>40634</v>
      </c>
      <c r="D15" s="104" t="s">
        <v>61</v>
      </c>
      <c r="E15" s="104" t="s">
        <v>70</v>
      </c>
      <c r="F15" s="104" t="s">
        <v>63</v>
      </c>
      <c r="G15" s="104" t="s">
        <v>64</v>
      </c>
      <c r="H15" s="136">
        <v>1320315</v>
      </c>
      <c r="I15" s="104" t="s">
        <v>71</v>
      </c>
      <c r="J15" s="104" t="s">
        <v>72</v>
      </c>
      <c r="K15" s="104" t="s">
        <v>73</v>
      </c>
      <c r="L15" s="246">
        <v>1.45</v>
      </c>
      <c r="M15" s="132">
        <f t="shared" si="0"/>
        <v>2624.5</v>
      </c>
      <c r="N15" s="408">
        <v>1518</v>
      </c>
      <c r="O15" s="133">
        <f t="shared" si="1"/>
        <v>2624.5</v>
      </c>
      <c r="P15" s="293">
        <f t="shared" si="2"/>
        <v>4142.5</v>
      </c>
      <c r="Q15" s="133">
        <f>IF(OR($G15="EST",$G15="EFE"),0,IF($P15&gt;='Tabelas INSS e IR'!$B$8,'Tabelas INSS e IR'!$D$8,IF($P15&gt;='Tabelas INSS e IR'!$B$7,($P15*'Tabelas INSS e IR'!$D$7)-'Tabelas INSS e IR'!$E$7,IF($P15&gt;='Tabelas INSS e IR'!$B$6,($P15*'Tabelas INSS e IR'!$D$6)-'Tabelas INSS e IR'!$E$6,IF($P15&gt;='Tabelas INSS e IR'!$B$5,($P15*'Tabelas INSS e IR'!$D$5)-'Tabelas INSS e IR'!$E$5,$P15*'Tabelas INSS e IR'!$D$4)))))</f>
        <v>390.51</v>
      </c>
      <c r="R15" s="133">
        <f>IF(OR($G15="EST",$G15="EFE"),0,IF($N15&gt;='Tabelas INSS e IR'!$B$8,'Tabelas INSS e IR'!$D$8,IF($N15&gt;='Tabelas INSS e IR'!$B$7,($N15*'Tabelas INSS e IR'!$D$7)-'Tabelas INSS e IR'!$E$7,IF($N15&gt;='Tabelas INSS e IR'!$B$6,($N15*'Tabelas INSS e IR'!$D$6)-'Tabelas INSS e IR'!$E$6,IF($N15&gt;='Tabelas INSS e IR'!$B$5,($N15*'Tabelas INSS e IR'!$D$5)-'Tabelas INSS e IR'!$E$5,$N15*'Tabelas INSS e IR'!$D$4)))))</f>
        <v>113.84999999999998</v>
      </c>
      <c r="S15" s="133"/>
      <c r="T15" s="294">
        <f>(IF(OR($G15="EST",$G15="EFE"),0,IF((Q15+S15)&gt;'Tabelas INSS e IR'!$D$8,'Tabelas INSS e IR'!$D$8-(S15+R15),(Q15-R15))))</f>
        <v>276.66000000000003</v>
      </c>
      <c r="U15" s="392">
        <f>N15-R15</f>
        <v>1404.15</v>
      </c>
      <c r="V15" s="137"/>
      <c r="W15" s="247">
        <f t="shared" si="3"/>
        <v>1404.15</v>
      </c>
      <c r="X15" s="291">
        <f t="shared" si="4"/>
        <v>2347.84</v>
      </c>
      <c r="Y15" s="133">
        <f t="shared" si="5"/>
        <v>3751.9900000000002</v>
      </c>
      <c r="Z15" s="133">
        <f>IF($Y15&lt;'Tabelas INSS e IR'!$H$5,0,IF($Y15&lt;'Tabelas INSS e IR'!$H$6,($Y15*'Tabelas INSS e IR'!$J$5)-'Tabelas INSS e IR'!$K$5,IF($Y15&lt;'Tabelas INSS e IR'!$H$7,($Y15*'Tabelas INSS e IR'!$J$6)-'Tabelas INSS e IR'!$K$6,IF($Y15&lt;'Tabelas INSS e IR'!$H$8,($Y15*'Tabelas INSS e IR'!$J$7)-'Tabelas INSS e IR'!$K$7,($Y15*'Tabelas INSS e IR'!$J$8)-'Tabelas INSS e IR'!$K$8))))</f>
        <v>168.70775000000003</v>
      </c>
      <c r="AA15" s="133">
        <f>IF($W15&lt;'Tabelas INSS e IR'!$H$5,0,IF($W15&lt;'Tabelas INSS e IR'!$H$6,($W15*'Tabelas INSS e IR'!$J$5)-'Tabelas INSS e IR'!$K$5,IF($W15&lt;'Tabelas INSS e IR'!$H$7,($W15*'Tabelas INSS e IR'!$J$6)-'Tabelas INSS e IR'!$K$6,IF($W15&lt;'Tabelas INSS e IR'!$H$8,($W15*'Tabelas INSS e IR'!$J$7)-'Tabelas INSS e IR'!$K$7,($W15*'Tabelas INSS e IR'!$J$8)-'Tabelas INSS e IR'!$K$8))))</f>
        <v>0</v>
      </c>
      <c r="AB15" s="294">
        <f t="shared" si="6"/>
        <v>168.70775000000003</v>
      </c>
      <c r="AC15" s="299"/>
      <c r="AD15" s="298"/>
      <c r="AE15" s="300"/>
      <c r="AF15" s="297">
        <f t="shared" si="7"/>
        <v>445.36775000000006</v>
      </c>
      <c r="AG15" s="297">
        <f t="shared" si="8"/>
        <v>2179.1322500000001</v>
      </c>
    </row>
    <row r="16" spans="1:33" s="462" customFormat="1" ht="15" customHeight="1" x14ac:dyDescent="0.25">
      <c r="A16" s="103">
        <v>3</v>
      </c>
      <c r="B16" s="403" t="s">
        <v>74</v>
      </c>
      <c r="C16" s="135">
        <v>42835</v>
      </c>
      <c r="D16" s="104" t="s">
        <v>75</v>
      </c>
      <c r="E16" s="104" t="s">
        <v>76</v>
      </c>
      <c r="F16" s="104" t="s">
        <v>63</v>
      </c>
      <c r="G16" s="104" t="s">
        <v>64</v>
      </c>
      <c r="H16" s="136" t="s">
        <v>77</v>
      </c>
      <c r="I16" s="136" t="s">
        <v>78</v>
      </c>
      <c r="J16" s="104" t="s">
        <v>79</v>
      </c>
      <c r="K16" s="104" t="s">
        <v>80</v>
      </c>
      <c r="L16" s="246">
        <v>0.5</v>
      </c>
      <c r="M16" s="132">
        <f t="shared" si="0"/>
        <v>905</v>
      </c>
      <c r="N16" s="408">
        <v>1518</v>
      </c>
      <c r="O16" s="133">
        <f t="shared" si="1"/>
        <v>905</v>
      </c>
      <c r="P16" s="293">
        <f t="shared" si="2"/>
        <v>2423</v>
      </c>
      <c r="Q16" s="133">
        <f>IF(OR($G16="EST",$G16="EFE"),0,IF($P16&gt;='Tabelas INSS e IR'!$B$8,'Tabelas INSS e IR'!$D$8,IF($P16&gt;='Tabelas INSS e IR'!$B$7,($P16*'Tabelas INSS e IR'!$D$7)-'Tabelas INSS e IR'!$E$7,IF($P16&gt;='Tabelas INSS e IR'!$B$6,($P16*'Tabelas INSS e IR'!$D$6)-'Tabelas INSS e IR'!$E$6,IF($P16&gt;='Tabelas INSS e IR'!$B$5,($P16*'Tabelas INSS e IR'!$D$5)-'Tabelas INSS e IR'!$E$5,$P16*'Tabelas INSS e IR'!$D$4)))))</f>
        <v>195.29999999999998</v>
      </c>
      <c r="R16" s="133">
        <f>IF(OR($G16="EST",$G16="EFE"),0,IF($N16&gt;='Tabelas INSS e IR'!$B$8,'Tabelas INSS e IR'!$D$8,IF($N16&gt;='Tabelas INSS e IR'!$B$7,($N16*'Tabelas INSS e IR'!$D$7)-'Tabelas INSS e IR'!$E$7,IF($N16&gt;='Tabelas INSS e IR'!$B$6,($N16*'Tabelas INSS e IR'!$D$6)-'Tabelas INSS e IR'!$E$6,IF($N16&gt;='Tabelas INSS e IR'!$B$5,($N16*'Tabelas INSS e IR'!$D$5)-'Tabelas INSS e IR'!$E$5,$N16*'Tabelas INSS e IR'!$D$4)))))</f>
        <v>113.84999999999998</v>
      </c>
      <c r="S16" s="132"/>
      <c r="T16" s="294">
        <f>(IF(OR($G16="EST",$G16="EFE"),0,IF((Q16+S16)&gt;'Tabelas INSS e IR'!$D$8,'Tabelas INSS e IR'!$D$8-(S16+R16),(Q16-R16))))</f>
        <v>81.45</v>
      </c>
      <c r="U16" s="392">
        <f t="shared" ref="U16:U67" si="9">N16-R16</f>
        <v>1404.15</v>
      </c>
      <c r="V16" s="137"/>
      <c r="W16" s="247">
        <f t="shared" si="3"/>
        <v>1404.15</v>
      </c>
      <c r="X16" s="291">
        <f t="shared" si="4"/>
        <v>823.55</v>
      </c>
      <c r="Y16" s="133">
        <f t="shared" si="5"/>
        <v>2227.6999999999998</v>
      </c>
      <c r="Z16" s="133">
        <f>IF($Y16&lt;'Tabelas INSS e IR'!$H$5,0,IF($Y16&lt;'Tabelas INSS e IR'!$H$6,($Y16*'Tabelas INSS e IR'!$J$5)-'Tabelas INSS e IR'!$K$5,IF($Y16&lt;'Tabelas INSS e IR'!$H$7,($Y16*'Tabelas INSS e IR'!$J$6)-'Tabelas INSS e IR'!$K$6,IF($Y16&lt;'Tabelas INSS e IR'!$H$8,($Y16*'Tabelas INSS e IR'!$J$7)-'Tabelas INSS e IR'!$K$7,($Y16*'Tabelas INSS e IR'!$J$8)-'Tabelas INSS e IR'!$K$8))))</f>
        <v>0</v>
      </c>
      <c r="AA16" s="133">
        <f>IF($W16&lt;'Tabelas INSS e IR'!$H$5,0,IF($W16&lt;'Tabelas INSS e IR'!$H$6,($W16*'Tabelas INSS e IR'!$J$5)-'Tabelas INSS e IR'!$K$5,IF($W16&lt;'Tabelas INSS e IR'!$H$7,($W16*'Tabelas INSS e IR'!$J$6)-'Tabelas INSS e IR'!$K$6,IF($W16&lt;'Tabelas INSS e IR'!$H$8,($W16*'Tabelas INSS e IR'!$J$7)-'Tabelas INSS e IR'!$K$7,($W16*'Tabelas INSS e IR'!$J$8)-'Tabelas INSS e IR'!$K$8))))</f>
        <v>0</v>
      </c>
      <c r="AB16" s="294">
        <f t="shared" si="6"/>
        <v>0</v>
      </c>
      <c r="AC16" s="138"/>
      <c r="AD16" s="137"/>
      <c r="AE16" s="139"/>
      <c r="AF16" s="297">
        <f t="shared" si="7"/>
        <v>81.45</v>
      </c>
      <c r="AG16" s="297">
        <f t="shared" si="8"/>
        <v>823.55</v>
      </c>
    </row>
    <row r="17" spans="1:34" s="463" customFormat="1" ht="15" customHeight="1" x14ac:dyDescent="0.25">
      <c r="A17" s="103">
        <v>4</v>
      </c>
      <c r="B17" s="403" t="s">
        <v>81</v>
      </c>
      <c r="C17" s="135">
        <v>43514</v>
      </c>
      <c r="D17" s="104" t="s">
        <v>61</v>
      </c>
      <c r="E17" s="104" t="s">
        <v>62</v>
      </c>
      <c r="F17" s="104" t="s">
        <v>63</v>
      </c>
      <c r="G17" s="104" t="s">
        <v>64</v>
      </c>
      <c r="H17" s="136" t="s">
        <v>82</v>
      </c>
      <c r="I17" s="104" t="s">
        <v>83</v>
      </c>
      <c r="J17" s="104" t="s">
        <v>84</v>
      </c>
      <c r="K17" s="104" t="s">
        <v>85</v>
      </c>
      <c r="L17" s="312">
        <v>1.1499999999999999</v>
      </c>
      <c r="M17" s="132">
        <f t="shared" si="0"/>
        <v>2081.5</v>
      </c>
      <c r="N17" s="408">
        <v>1518</v>
      </c>
      <c r="O17" s="133">
        <f t="shared" si="1"/>
        <v>2081.5</v>
      </c>
      <c r="P17" s="293">
        <f t="shared" si="2"/>
        <v>3599.5</v>
      </c>
      <c r="Q17" s="133">
        <f>IF(OR($G17="EST",$G17="EFE"),0,IF($P17&gt;='Tabelas INSS e IR'!$B$8,'Tabelas INSS e IR'!$D$8,IF($P17&gt;='Tabelas INSS e IR'!$B$7,($P17*'Tabelas INSS e IR'!$D$7)-'Tabelas INSS e IR'!$E$7,IF($P17&gt;='Tabelas INSS e IR'!$B$6,($P17*'Tabelas INSS e IR'!$D$6)-'Tabelas INSS e IR'!$E$6,IF($P17&gt;='Tabelas INSS e IR'!$B$5,($P17*'Tabelas INSS e IR'!$D$5)-'Tabelas INSS e IR'!$E$5,$P17*'Tabelas INSS e IR'!$D$4)))))</f>
        <v>325.35000000000002</v>
      </c>
      <c r="R17" s="133">
        <f>IF(OR($G17="EST",$G17="EFE"),0,IF($N17&gt;='Tabelas INSS e IR'!$B$8,'Tabelas INSS e IR'!$D$8,IF($N17&gt;='Tabelas INSS e IR'!$B$7,($N17*'Tabelas INSS e IR'!$D$7)-'Tabelas INSS e IR'!$E$7,IF($N17&gt;='Tabelas INSS e IR'!$B$6,($N17*'Tabelas INSS e IR'!$D$6)-'Tabelas INSS e IR'!$E$6,IF($N17&gt;='Tabelas INSS e IR'!$B$5,($N17*'Tabelas INSS e IR'!$D$5)-'Tabelas INSS e IR'!$E$5,$N17*'Tabelas INSS e IR'!$D$4)))))</f>
        <v>113.84999999999998</v>
      </c>
      <c r="S17" s="132"/>
      <c r="T17" s="294">
        <f>(IF(OR($G17="EST",$G17="EFE"),0,IF((Q17+S17)&gt;'Tabelas INSS e IR'!$D$8,'Tabelas INSS e IR'!$D$8-(S17+R17),(Q17-R17))))</f>
        <v>211.50000000000006</v>
      </c>
      <c r="U17" s="392">
        <f t="shared" si="9"/>
        <v>1404.15</v>
      </c>
      <c r="V17" s="141"/>
      <c r="W17" s="247">
        <f t="shared" si="3"/>
        <v>1404.15</v>
      </c>
      <c r="X17" s="291">
        <f t="shared" si="4"/>
        <v>1870</v>
      </c>
      <c r="Y17" s="133">
        <f t="shared" si="5"/>
        <v>3274.15</v>
      </c>
      <c r="Z17" s="133">
        <f>IF($Y17&lt;'Tabelas INSS e IR'!$H$5,0,IF($Y17&lt;'Tabelas INSS e IR'!$H$6,($Y17*'Tabelas INSS e IR'!$J$5)-'Tabelas INSS e IR'!$K$5,IF($Y17&lt;'Tabelas INSS e IR'!$H$7,($Y17*'Tabelas INSS e IR'!$J$6)-'Tabelas INSS e IR'!$K$6,IF($Y17&lt;'Tabelas INSS e IR'!$H$8,($Y17*'Tabelas INSS e IR'!$J$7)-'Tabelas INSS e IR'!$K$7,($Y17*'Tabelas INSS e IR'!$J$8)-'Tabelas INSS e IR'!$K$8))))</f>
        <v>96.962499999999977</v>
      </c>
      <c r="AA17" s="133">
        <f>IF($W17&lt;'Tabelas INSS e IR'!$H$5,0,IF($W17&lt;'Tabelas INSS e IR'!$H$6,($W17*'Tabelas INSS e IR'!$J$5)-'Tabelas INSS e IR'!$K$5,IF($W17&lt;'Tabelas INSS e IR'!$H$7,($W17*'Tabelas INSS e IR'!$J$6)-'Tabelas INSS e IR'!$K$6,IF($W17&lt;'Tabelas INSS e IR'!$H$8,($W17*'Tabelas INSS e IR'!$J$7)-'Tabelas INSS e IR'!$K$7,($W17*'Tabelas INSS e IR'!$J$8)-'Tabelas INSS e IR'!$K$8))))</f>
        <v>0</v>
      </c>
      <c r="AB17" s="294">
        <f t="shared" si="6"/>
        <v>96.962499999999977</v>
      </c>
      <c r="AC17" s="138"/>
      <c r="AD17" s="137"/>
      <c r="AE17" s="139"/>
      <c r="AF17" s="297">
        <f t="shared" si="7"/>
        <v>308.46250000000003</v>
      </c>
      <c r="AG17" s="297">
        <f t="shared" si="8"/>
        <v>1773.0374999999999</v>
      </c>
    </row>
    <row r="18" spans="1:34" s="463" customFormat="1" ht="15" customHeight="1" x14ac:dyDescent="0.25">
      <c r="A18" s="103">
        <v>5</v>
      </c>
      <c r="B18" s="403" t="s">
        <v>86</v>
      </c>
      <c r="C18" s="135">
        <v>39344</v>
      </c>
      <c r="D18" s="104" t="s">
        <v>87</v>
      </c>
      <c r="E18" s="104" t="s">
        <v>88</v>
      </c>
      <c r="F18" s="104" t="s">
        <v>63</v>
      </c>
      <c r="G18" s="104" t="s">
        <v>64</v>
      </c>
      <c r="H18" s="136">
        <v>1441737</v>
      </c>
      <c r="I18" s="110" t="s">
        <v>89</v>
      </c>
      <c r="J18" s="104" t="s">
        <v>84</v>
      </c>
      <c r="K18" s="104">
        <v>416380</v>
      </c>
      <c r="L18" s="246">
        <v>1.5</v>
      </c>
      <c r="M18" s="132">
        <f t="shared" si="0"/>
        <v>2715</v>
      </c>
      <c r="N18" s="408">
        <v>1518</v>
      </c>
      <c r="O18" s="133">
        <f t="shared" si="1"/>
        <v>2715</v>
      </c>
      <c r="P18" s="293">
        <f t="shared" si="2"/>
        <v>4233</v>
      </c>
      <c r="Q18" s="133">
        <f>IF(OR($G18="EST",$G18="EFE"),0,IF($P18&gt;='Tabelas INSS e IR'!$B$8,'Tabelas INSS e IR'!$D$8,IF($P18&gt;='Tabelas INSS e IR'!$B$7,($P18*'Tabelas INSS e IR'!$D$7)-'Tabelas INSS e IR'!$E$7,IF($P18&gt;='Tabelas INSS e IR'!$B$6,($P18*'Tabelas INSS e IR'!$D$6)-'Tabelas INSS e IR'!$E$6,IF($P18&gt;='Tabelas INSS e IR'!$B$5,($P18*'Tabelas INSS e IR'!$D$5)-'Tabelas INSS e IR'!$E$5,$P18*'Tabelas INSS e IR'!$D$4)))))</f>
        <v>402.22</v>
      </c>
      <c r="R18" s="133">
        <f>IF(OR($G18="EST",$G18="EFE"),0,IF($N18&gt;='Tabelas INSS e IR'!$B$8,'Tabelas INSS e IR'!$D$8,IF($N18&gt;='Tabelas INSS e IR'!$B$7,($N18*'Tabelas INSS e IR'!$D$7)-'Tabelas INSS e IR'!$E$7,IF($N18&gt;='Tabelas INSS e IR'!$B$6,($N18*'Tabelas INSS e IR'!$D$6)-'Tabelas INSS e IR'!$E$6,IF($N18&gt;='Tabelas INSS e IR'!$B$5,($N18*'Tabelas INSS e IR'!$D$5)-'Tabelas INSS e IR'!$E$5,$N18*'Tabelas INSS e IR'!$D$4)))))</f>
        <v>113.84999999999998</v>
      </c>
      <c r="S18" s="132"/>
      <c r="T18" s="294">
        <f>(IF(OR($G18="EST",$G18="EFE"),0,IF((Q18+S18)&gt;'Tabelas INSS e IR'!$D$8,'Tabelas INSS e IR'!$D$8-(S18+R18),(Q18-R18))))</f>
        <v>288.37000000000006</v>
      </c>
      <c r="U18" s="392">
        <f t="shared" si="9"/>
        <v>1404.15</v>
      </c>
      <c r="V18" s="137"/>
      <c r="W18" s="247">
        <f t="shared" si="3"/>
        <v>1404.15</v>
      </c>
      <c r="X18" s="291">
        <f t="shared" si="4"/>
        <v>2426.63</v>
      </c>
      <c r="Y18" s="133">
        <f t="shared" si="5"/>
        <v>3830.78</v>
      </c>
      <c r="Z18" s="133">
        <f>IF($Y18&lt;'Tabelas INSS e IR'!$H$5,0,IF($Y18&lt;'Tabelas INSS e IR'!$H$6,($Y18*'Tabelas INSS e IR'!$J$5)-'Tabelas INSS e IR'!$K$5,IF($Y18&lt;'Tabelas INSS e IR'!$H$7,($Y18*'Tabelas INSS e IR'!$J$6)-'Tabelas INSS e IR'!$K$6,IF($Y18&lt;'Tabelas INSS e IR'!$H$8,($Y18*'Tabelas INSS e IR'!$J$7)-'Tabelas INSS e IR'!$K$7,($Y18*'Tabelas INSS e IR'!$J$8)-'Tabelas INSS e IR'!$K$8))))</f>
        <v>186.43550000000005</v>
      </c>
      <c r="AA18" s="133">
        <f>IF($W18&lt;'Tabelas INSS e IR'!$H$5,0,IF($W18&lt;'Tabelas INSS e IR'!$H$6,($W18*'Tabelas INSS e IR'!$J$5)-'Tabelas INSS e IR'!$K$5,IF($W18&lt;'Tabelas INSS e IR'!$H$7,($W18*'Tabelas INSS e IR'!$J$6)-'Tabelas INSS e IR'!$K$6,IF($W18&lt;'Tabelas INSS e IR'!$H$8,($W18*'Tabelas INSS e IR'!$J$7)-'Tabelas INSS e IR'!$K$7,($W18*'Tabelas INSS e IR'!$J$8)-'Tabelas INSS e IR'!$K$8))))</f>
        <v>0</v>
      </c>
      <c r="AB18" s="294">
        <f t="shared" si="6"/>
        <v>186.43550000000005</v>
      </c>
      <c r="AC18" s="138"/>
      <c r="AD18" s="137"/>
      <c r="AE18" s="139"/>
      <c r="AF18" s="297">
        <f t="shared" si="7"/>
        <v>474.80550000000011</v>
      </c>
      <c r="AG18" s="297">
        <f t="shared" si="8"/>
        <v>2240.1945000000001</v>
      </c>
    </row>
    <row r="19" spans="1:34" s="463" customFormat="1" ht="15" customHeight="1" x14ac:dyDescent="0.25">
      <c r="A19" s="104">
        <v>6</v>
      </c>
      <c r="B19" s="522" t="s">
        <v>90</v>
      </c>
      <c r="C19" s="135">
        <v>39321</v>
      </c>
      <c r="D19" s="104" t="s">
        <v>91</v>
      </c>
      <c r="E19" s="104" t="s">
        <v>62</v>
      </c>
      <c r="F19" s="104" t="s">
        <v>63</v>
      </c>
      <c r="G19" s="104" t="s">
        <v>64</v>
      </c>
      <c r="H19" s="136">
        <v>1415405</v>
      </c>
      <c r="I19" s="110" t="s">
        <v>92</v>
      </c>
      <c r="J19" s="104" t="s">
        <v>67</v>
      </c>
      <c r="K19" s="104" t="s">
        <v>93</v>
      </c>
      <c r="L19" s="246">
        <v>1.5</v>
      </c>
      <c r="M19" s="132">
        <f t="shared" si="0"/>
        <v>2715</v>
      </c>
      <c r="N19" s="305"/>
      <c r="O19" s="133">
        <f t="shared" si="1"/>
        <v>2715</v>
      </c>
      <c r="P19" s="293">
        <f t="shared" si="2"/>
        <v>2715</v>
      </c>
      <c r="Q19" s="133">
        <f>IF(OR($G19="EST",$G19="EFE"),0,IF($P19&gt;='Tabelas INSS e IR'!$B$8,'Tabelas INSS e IR'!$D$8,IF($P19&gt;='Tabelas INSS e IR'!$B$7,($P19*'Tabelas INSS e IR'!$D$7)-'Tabelas INSS e IR'!$E$7,IF($P19&gt;='Tabelas INSS e IR'!$B$6,($P19*'Tabelas INSS e IR'!$D$6)-'Tabelas INSS e IR'!$E$6,IF($P19&gt;='Tabelas INSS e IR'!$B$5,($P19*'Tabelas INSS e IR'!$D$5)-'Tabelas INSS e IR'!$E$5,$P19*'Tabelas INSS e IR'!$D$4)))))</f>
        <v>221.57999999999998</v>
      </c>
      <c r="R19" s="133">
        <f>IF(OR($G19="EST",$G19="EFE"),0,IF($N19&gt;='Tabelas INSS e IR'!$B$8,'Tabelas INSS e IR'!$D$8,IF($N19&gt;='Tabelas INSS e IR'!$B$7,($N19*'Tabelas INSS e IR'!$D$7)-'Tabelas INSS e IR'!$E$7,IF($N19&gt;='Tabelas INSS e IR'!$B$6,($N19*'Tabelas INSS e IR'!$D$6)-'Tabelas INSS e IR'!$E$6,IF($N19&gt;='Tabelas INSS e IR'!$B$5,($N19*'Tabelas INSS e IR'!$D$5)-'Tabelas INSS e IR'!$E$5,$N19*'Tabelas INSS e IR'!$D$4)))))</f>
        <v>0</v>
      </c>
      <c r="S19" s="132"/>
      <c r="T19" s="294">
        <f>(IF(OR($G19="EST",$G19="EFE"),0,IF((Q19+S19)&gt;'Tabelas INSS e IR'!$D$8,'Tabelas INSS e IR'!$D$8-(S19+R19),(Q19-R19))))</f>
        <v>221.57999999999998</v>
      </c>
      <c r="U19" s="392">
        <f t="shared" si="9"/>
        <v>0</v>
      </c>
      <c r="V19" s="137"/>
      <c r="W19" s="247">
        <f t="shared" si="3"/>
        <v>0</v>
      </c>
      <c r="X19" s="291">
        <f t="shared" si="4"/>
        <v>2493.42</v>
      </c>
      <c r="Y19" s="133">
        <f t="shared" si="5"/>
        <v>2493.42</v>
      </c>
      <c r="Z19" s="133">
        <f>IF($Y19&lt;'Tabelas INSS e IR'!$H$5,0,IF($Y19&lt;'Tabelas INSS e IR'!$H$6,($Y19*'Tabelas INSS e IR'!$J$5)-'Tabelas INSS e IR'!$K$5,IF($Y19&lt;'Tabelas INSS e IR'!$H$7,($Y19*'Tabelas INSS e IR'!$J$6)-'Tabelas INSS e IR'!$K$6,IF($Y19&lt;'Tabelas INSS e IR'!$H$8,($Y19*'Tabelas INSS e IR'!$J$7)-'Tabelas INSS e IR'!$K$7,($Y19*'Tabelas INSS e IR'!$J$8)-'Tabelas INSS e IR'!$K$8))))</f>
        <v>4.8464999999999634</v>
      </c>
      <c r="AA19" s="133">
        <f>IF($W19&lt;'Tabelas INSS e IR'!$H$5,0,IF($W19&lt;'Tabelas INSS e IR'!$H$6,($W19*'Tabelas INSS e IR'!$J$5)-'Tabelas INSS e IR'!$K$5,IF($W19&lt;'Tabelas INSS e IR'!$H$7,($W19*'Tabelas INSS e IR'!$J$6)-'Tabelas INSS e IR'!$K$6,IF($W19&lt;'Tabelas INSS e IR'!$H$8,($W19*'Tabelas INSS e IR'!$J$7)-'Tabelas INSS e IR'!$K$7,($W19*'Tabelas INSS e IR'!$J$8)-'Tabelas INSS e IR'!$K$8))))</f>
        <v>0</v>
      </c>
      <c r="AB19" s="294">
        <f t="shared" si="6"/>
        <v>4.8464999999999634</v>
      </c>
      <c r="AC19" s="138"/>
      <c r="AD19" s="137"/>
      <c r="AE19" s="139"/>
      <c r="AF19" s="297">
        <f t="shared" si="7"/>
        <v>226.42649999999995</v>
      </c>
      <c r="AG19" s="297">
        <f t="shared" si="8"/>
        <v>2488.5735</v>
      </c>
    </row>
    <row r="20" spans="1:34" s="463" customFormat="1" ht="15" customHeight="1" x14ac:dyDescent="0.25">
      <c r="A20" s="103">
        <v>7</v>
      </c>
      <c r="B20" s="403" t="s">
        <v>577</v>
      </c>
      <c r="C20" s="135">
        <v>40909</v>
      </c>
      <c r="D20" s="104" t="s">
        <v>94</v>
      </c>
      <c r="E20" s="104" t="s">
        <v>95</v>
      </c>
      <c r="F20" s="104" t="s">
        <v>63</v>
      </c>
      <c r="G20" s="104" t="s">
        <v>64</v>
      </c>
      <c r="H20" s="136">
        <v>1136343660</v>
      </c>
      <c r="I20" s="110" t="s">
        <v>96</v>
      </c>
      <c r="J20" s="104" t="s">
        <v>84</v>
      </c>
      <c r="K20" s="104" t="s">
        <v>97</v>
      </c>
      <c r="L20" s="246">
        <v>1.6</v>
      </c>
      <c r="M20" s="132">
        <f t="shared" si="0"/>
        <v>2896</v>
      </c>
      <c r="N20" s="408">
        <v>1518</v>
      </c>
      <c r="O20" s="133">
        <f t="shared" si="1"/>
        <v>2896</v>
      </c>
      <c r="P20" s="293">
        <f t="shared" si="2"/>
        <v>4414</v>
      </c>
      <c r="Q20" s="133">
        <f>IF(OR($G20="EST",$G20="EFE"),0,IF($P20&gt;='Tabelas INSS e IR'!$B$8,'Tabelas INSS e IR'!$D$8,IF($P20&gt;='Tabelas INSS e IR'!$B$7,($P20*'Tabelas INSS e IR'!$D$7)-'Tabelas INSS e IR'!$E$7,IF($P20&gt;='Tabelas INSS e IR'!$B$6,($P20*'Tabelas INSS e IR'!$D$6)-'Tabelas INSS e IR'!$E$6,IF($P20&gt;='Tabelas INSS e IR'!$B$5,($P20*'Tabelas INSS e IR'!$D$5)-'Tabelas INSS e IR'!$E$5,$P20*'Tabelas INSS e IR'!$D$4)))))</f>
        <v>427.56000000000006</v>
      </c>
      <c r="R20" s="133">
        <f>IF(OR($G20="EST",$G20="EFE"),0,IF($N20&gt;='Tabelas INSS e IR'!$B$8,'Tabelas INSS e IR'!$D$8,IF($N20&gt;='Tabelas INSS e IR'!$B$7,($N20*'Tabelas INSS e IR'!$D$7)-'Tabelas INSS e IR'!$E$7,IF($N20&gt;='Tabelas INSS e IR'!$B$6,($N20*'Tabelas INSS e IR'!$D$6)-'Tabelas INSS e IR'!$E$6,IF($N20&gt;='Tabelas INSS e IR'!$B$5,($N20*'Tabelas INSS e IR'!$D$5)-'Tabelas INSS e IR'!$E$5,$N20*'Tabelas INSS e IR'!$D$4)))))</f>
        <v>113.84999999999998</v>
      </c>
      <c r="S20" s="132"/>
      <c r="T20" s="294">
        <f>(IF(OR($G20="EST",$G20="EFE"),0,IF((Q20+S20)&gt;'Tabelas INSS e IR'!$D$8,'Tabelas INSS e IR'!$D$8-(S20+R20),(Q20-R20))))</f>
        <v>313.71000000000009</v>
      </c>
      <c r="U20" s="392">
        <f t="shared" si="9"/>
        <v>1404.15</v>
      </c>
      <c r="V20" s="137"/>
      <c r="W20" s="247">
        <f t="shared" si="3"/>
        <v>1404.15</v>
      </c>
      <c r="X20" s="291">
        <f t="shared" si="4"/>
        <v>2582.29</v>
      </c>
      <c r="Y20" s="133">
        <f t="shared" si="5"/>
        <v>3986.44</v>
      </c>
      <c r="Z20" s="133">
        <f>IF($Y20&lt;'Tabelas INSS e IR'!$H$5,0,IF($Y20&lt;'Tabelas INSS e IR'!$H$6,($Y20*'Tabelas INSS e IR'!$J$5)-'Tabelas INSS e IR'!$K$5,IF($Y20&lt;'Tabelas INSS e IR'!$H$7,($Y20*'Tabelas INSS e IR'!$J$6)-'Tabelas INSS e IR'!$K$6,IF($Y20&lt;'Tabelas INSS e IR'!$H$8,($Y20*'Tabelas INSS e IR'!$J$7)-'Tabelas INSS e IR'!$K$7,($Y20*'Tabelas INSS e IR'!$J$8)-'Tabelas INSS e IR'!$K$8))))</f>
        <v>221.45900000000006</v>
      </c>
      <c r="AA20" s="133">
        <f>IF($W20&lt;'Tabelas INSS e IR'!$H$5,0,IF($W20&lt;'Tabelas INSS e IR'!$H$6,($W20*'Tabelas INSS e IR'!$J$5)-'Tabelas INSS e IR'!$K$5,IF($W20&lt;'Tabelas INSS e IR'!$H$7,($W20*'Tabelas INSS e IR'!$J$6)-'Tabelas INSS e IR'!$K$6,IF($W20&lt;'Tabelas INSS e IR'!$H$8,($W20*'Tabelas INSS e IR'!$J$7)-'Tabelas INSS e IR'!$K$7,($W20*'Tabelas INSS e IR'!$J$8)-'Tabelas INSS e IR'!$K$8))))</f>
        <v>0</v>
      </c>
      <c r="AB20" s="294">
        <f t="shared" si="6"/>
        <v>221.45900000000006</v>
      </c>
      <c r="AC20" s="142"/>
      <c r="AD20" s="143"/>
      <c r="AE20" s="139"/>
      <c r="AF20" s="297">
        <f t="shared" si="7"/>
        <v>535.1690000000001</v>
      </c>
      <c r="AG20" s="297">
        <f t="shared" si="8"/>
        <v>2360.8310000000001</v>
      </c>
    </row>
    <row r="21" spans="1:34" s="463" customFormat="1" ht="15" customHeight="1" x14ac:dyDescent="0.25">
      <c r="A21" s="103">
        <v>8</v>
      </c>
      <c r="B21" s="403" t="s">
        <v>98</v>
      </c>
      <c r="C21" s="135" t="s">
        <v>99</v>
      </c>
      <c r="D21" s="105" t="s">
        <v>100</v>
      </c>
      <c r="E21" s="311" t="s">
        <v>101</v>
      </c>
      <c r="F21" s="146" t="s">
        <v>63</v>
      </c>
      <c r="G21" s="104" t="s">
        <v>64</v>
      </c>
      <c r="H21" s="136" t="s">
        <v>102</v>
      </c>
      <c r="I21" s="110" t="s">
        <v>103</v>
      </c>
      <c r="J21" s="104" t="s">
        <v>104</v>
      </c>
      <c r="K21" s="104" t="s">
        <v>105</v>
      </c>
      <c r="L21" s="246">
        <v>0.8</v>
      </c>
      <c r="M21" s="132">
        <f t="shared" si="0"/>
        <v>1448</v>
      </c>
      <c r="N21" s="408">
        <v>1518</v>
      </c>
      <c r="O21" s="133">
        <f t="shared" si="1"/>
        <v>1448</v>
      </c>
      <c r="P21" s="293">
        <f t="shared" si="2"/>
        <v>2966</v>
      </c>
      <c r="Q21" s="133">
        <f>IF(OR($G21="EST",$G21="EFE"),0,IF($P21&gt;='Tabelas INSS e IR'!$B$8,'Tabelas INSS e IR'!$D$8,IF($P21&gt;='Tabelas INSS e IR'!$B$7,($P21*'Tabelas INSS e IR'!$D$7)-'Tabelas INSS e IR'!$E$7,IF($P21&gt;='Tabelas INSS e IR'!$B$6,($P21*'Tabelas INSS e IR'!$D$6)-'Tabelas INSS e IR'!$E$6,IF($P21&gt;='Tabelas INSS e IR'!$B$5,($P21*'Tabelas INSS e IR'!$D$5)-'Tabelas INSS e IR'!$E$5,$P21*'Tabelas INSS e IR'!$D$4)))))</f>
        <v>249.32999999999996</v>
      </c>
      <c r="R21" s="133">
        <f>IF(OR($G21="EST",$G21="EFE"),0,IF($N21&gt;='Tabelas INSS e IR'!$B$8,'Tabelas INSS e IR'!$D$8,IF($N21&gt;='Tabelas INSS e IR'!$B$7,($N21*'Tabelas INSS e IR'!$D$7)-'Tabelas INSS e IR'!$E$7,IF($N21&gt;='Tabelas INSS e IR'!$B$6,($N21*'Tabelas INSS e IR'!$D$6)-'Tabelas INSS e IR'!$E$6,IF($N21&gt;='Tabelas INSS e IR'!$B$5,($N21*'Tabelas INSS e IR'!$D$5)-'Tabelas INSS e IR'!$E$5,$N21*'Tabelas INSS e IR'!$D$4)))))</f>
        <v>113.84999999999998</v>
      </c>
      <c r="S21" s="132"/>
      <c r="T21" s="294">
        <f>(IF(OR($G21="EST",$G21="EFE"),0,IF((Q21+S21)&gt;'Tabelas INSS e IR'!$D$8,'Tabelas INSS e IR'!$D$8-(S21+R21),(Q21-R21))))</f>
        <v>135.47999999999996</v>
      </c>
      <c r="U21" s="392">
        <f t="shared" si="9"/>
        <v>1404.15</v>
      </c>
      <c r="V21" s="137"/>
      <c r="W21" s="247">
        <f t="shared" si="3"/>
        <v>1404.15</v>
      </c>
      <c r="X21" s="291">
        <f t="shared" si="4"/>
        <v>1312.52</v>
      </c>
      <c r="Y21" s="133">
        <f t="shared" si="5"/>
        <v>2716.67</v>
      </c>
      <c r="Z21" s="133">
        <f>IF($Y21&lt;'Tabelas INSS e IR'!$H$5,0,IF($Y21&lt;'Tabelas INSS e IR'!$H$6,($Y21*'Tabelas INSS e IR'!$J$5)-'Tabelas INSS e IR'!$K$5,IF($Y21&lt;'Tabelas INSS e IR'!$H$7,($Y21*'Tabelas INSS e IR'!$J$6)-'Tabelas INSS e IR'!$K$6,IF($Y21&lt;'Tabelas INSS e IR'!$H$8,($Y21*'Tabelas INSS e IR'!$J$7)-'Tabelas INSS e IR'!$K$7,($Y21*'Tabelas INSS e IR'!$J$8)-'Tabelas INSS e IR'!$K$8))))</f>
        <v>21.590249999999969</v>
      </c>
      <c r="AA21" s="133">
        <f>IF($W21&lt;'Tabelas INSS e IR'!$H$5,0,IF($W21&lt;'Tabelas INSS e IR'!$H$6,($W21*'Tabelas INSS e IR'!$J$5)-'Tabelas INSS e IR'!$K$5,IF($W21&lt;'Tabelas INSS e IR'!$H$7,($W21*'Tabelas INSS e IR'!$J$6)-'Tabelas INSS e IR'!$K$6,IF($W21&lt;'Tabelas INSS e IR'!$H$8,($W21*'Tabelas INSS e IR'!$J$7)-'Tabelas INSS e IR'!$K$7,($W21*'Tabelas INSS e IR'!$J$8)-'Tabelas INSS e IR'!$K$8))))</f>
        <v>0</v>
      </c>
      <c r="AB21" s="294">
        <f t="shared" si="6"/>
        <v>21.590249999999969</v>
      </c>
      <c r="AC21" s="154"/>
      <c r="AD21" s="141"/>
      <c r="AE21" s="147"/>
      <c r="AF21" s="297">
        <f t="shared" si="7"/>
        <v>157.07024999999993</v>
      </c>
      <c r="AG21" s="297">
        <f t="shared" si="8"/>
        <v>1290.92975</v>
      </c>
    </row>
    <row r="22" spans="1:34" s="464" customFormat="1" ht="15" customHeight="1" x14ac:dyDescent="0.25">
      <c r="A22" s="103">
        <v>9</v>
      </c>
      <c r="B22" s="403" t="s">
        <v>106</v>
      </c>
      <c r="C22" s="135">
        <v>43262</v>
      </c>
      <c r="D22" s="105" t="s">
        <v>107</v>
      </c>
      <c r="E22" s="104" t="s">
        <v>108</v>
      </c>
      <c r="F22" s="146" t="s">
        <v>63</v>
      </c>
      <c r="G22" s="104" t="s">
        <v>64</v>
      </c>
      <c r="H22" s="136">
        <v>33582238</v>
      </c>
      <c r="I22" s="104" t="s">
        <v>109</v>
      </c>
      <c r="J22" s="104" t="s">
        <v>110</v>
      </c>
      <c r="K22" s="104" t="s">
        <v>111</v>
      </c>
      <c r="L22" s="246">
        <v>1.1000000000000001</v>
      </c>
      <c r="M22" s="132">
        <f t="shared" si="0"/>
        <v>1991.0000000000002</v>
      </c>
      <c r="N22" s="408">
        <v>1551.74</v>
      </c>
      <c r="O22" s="133">
        <f t="shared" si="1"/>
        <v>1991.0000000000002</v>
      </c>
      <c r="P22" s="293">
        <f t="shared" si="2"/>
        <v>3542.7400000000002</v>
      </c>
      <c r="Q22" s="133">
        <f>IF(OR($G22="EST",$G22="EFE"),0,IF($P22&gt;='Tabelas INSS e IR'!$B$8,'Tabelas INSS e IR'!$D$8,IF($P22&gt;='Tabelas INSS e IR'!$B$7,($P22*'Tabelas INSS e IR'!$D$7)-'Tabelas INSS e IR'!$E$7,IF($P22&gt;='Tabelas INSS e IR'!$B$6,($P22*'Tabelas INSS e IR'!$D$6)-'Tabelas INSS e IR'!$E$6,IF($P22&gt;='Tabelas INSS e IR'!$B$5,($P22*'Tabelas INSS e IR'!$D$5)-'Tabelas INSS e IR'!$E$5,$P22*'Tabelas INSS e IR'!$D$4)))))</f>
        <v>318.53880000000004</v>
      </c>
      <c r="R22" s="133">
        <f>IF(OR($G22="EST",$G22="EFE"),0,IF($N22&gt;='Tabelas INSS e IR'!$B$8,'Tabelas INSS e IR'!$D$8,IF($N22&gt;='Tabelas INSS e IR'!$B$7,($N22*'Tabelas INSS e IR'!$D$7)-'Tabelas INSS e IR'!$E$7,IF($N22&gt;='Tabelas INSS e IR'!$B$6,($N22*'Tabelas INSS e IR'!$D$6)-'Tabelas INSS e IR'!$E$6,IF($N22&gt;='Tabelas INSS e IR'!$B$5,($N22*'Tabelas INSS e IR'!$D$5)-'Tabelas INSS e IR'!$E$5,$N22*'Tabelas INSS e IR'!$D$4)))))</f>
        <v>116.8866</v>
      </c>
      <c r="S22" s="132"/>
      <c r="T22" s="294">
        <f>(IF(OR($G22="EST",$G22="EFE"),0,IF((Q22+S22)&gt;'Tabelas INSS e IR'!$D$8,'Tabelas INSS e IR'!$D$8-(S22+R22),(Q22-R22))))</f>
        <v>201.65220000000005</v>
      </c>
      <c r="U22" s="392">
        <f t="shared" si="9"/>
        <v>1434.8534</v>
      </c>
      <c r="V22" s="137"/>
      <c r="W22" s="247">
        <f t="shared" si="3"/>
        <v>1434.8534</v>
      </c>
      <c r="X22" s="291">
        <f t="shared" si="4"/>
        <v>1789.3478000000002</v>
      </c>
      <c r="Y22" s="133">
        <f t="shared" si="5"/>
        <v>3224.2012000000004</v>
      </c>
      <c r="Z22" s="133">
        <f>IF($Y22&lt;'Tabelas INSS e IR'!$H$5,0,IF($Y22&lt;'Tabelas INSS e IR'!$H$6,($Y22*'Tabelas INSS e IR'!$J$5)-'Tabelas INSS e IR'!$K$5,IF($Y22&lt;'Tabelas INSS e IR'!$H$7,($Y22*'Tabelas INSS e IR'!$J$6)-'Tabelas INSS e IR'!$K$6,IF($Y22&lt;'Tabelas INSS e IR'!$H$8,($Y22*'Tabelas INSS e IR'!$J$7)-'Tabelas INSS e IR'!$K$7,($Y22*'Tabelas INSS e IR'!$J$8)-'Tabelas INSS e IR'!$K$8))))</f>
        <v>89.470180000000028</v>
      </c>
      <c r="AA22" s="133">
        <f>IF($W22&lt;'Tabelas INSS e IR'!$H$5,0,IF($W22&lt;'Tabelas INSS e IR'!$H$6,($W22*'Tabelas INSS e IR'!$J$5)-'Tabelas INSS e IR'!$K$5,IF($W22&lt;'Tabelas INSS e IR'!$H$7,($W22*'Tabelas INSS e IR'!$J$6)-'Tabelas INSS e IR'!$K$6,IF($W22&lt;'Tabelas INSS e IR'!$H$8,($W22*'Tabelas INSS e IR'!$J$7)-'Tabelas INSS e IR'!$K$7,($W22*'Tabelas INSS e IR'!$J$8)-'Tabelas INSS e IR'!$K$8))))</f>
        <v>0</v>
      </c>
      <c r="AB22" s="294">
        <f t="shared" si="6"/>
        <v>89.470180000000028</v>
      </c>
      <c r="AC22" s="138"/>
      <c r="AD22" s="137"/>
      <c r="AE22" s="147"/>
      <c r="AF22" s="297">
        <f t="shared" si="7"/>
        <v>291.12238000000008</v>
      </c>
      <c r="AG22" s="297">
        <f t="shared" si="8"/>
        <v>1699.8776200000002</v>
      </c>
    </row>
    <row r="23" spans="1:34" s="463" customFormat="1" ht="15" customHeight="1" x14ac:dyDescent="0.25">
      <c r="A23" s="104">
        <v>10</v>
      </c>
      <c r="B23" s="403" t="s">
        <v>112</v>
      </c>
      <c r="C23" s="135">
        <v>35835</v>
      </c>
      <c r="D23" s="105" t="s">
        <v>113</v>
      </c>
      <c r="E23" s="104" t="s">
        <v>114</v>
      </c>
      <c r="F23" s="146" t="s">
        <v>63</v>
      </c>
      <c r="G23" s="104" t="s">
        <v>64</v>
      </c>
      <c r="H23" s="104" t="s">
        <v>115</v>
      </c>
      <c r="I23" s="148" t="s">
        <v>116</v>
      </c>
      <c r="J23" s="104" t="s">
        <v>117</v>
      </c>
      <c r="K23" s="104" t="s">
        <v>118</v>
      </c>
      <c r="L23" s="246">
        <v>1.4</v>
      </c>
      <c r="M23" s="132">
        <f t="shared" si="0"/>
        <v>2533.9999999999995</v>
      </c>
      <c r="N23" s="408">
        <v>1518</v>
      </c>
      <c r="O23" s="133">
        <f t="shared" si="1"/>
        <v>2533.9999999999995</v>
      </c>
      <c r="P23" s="293">
        <f t="shared" si="2"/>
        <v>4051.9999999999995</v>
      </c>
      <c r="Q23" s="133">
        <f>IF(OR($G23="EST",$G23="EFE"),0,IF($P23&gt;='Tabelas INSS e IR'!$B$8,'Tabelas INSS e IR'!$D$8,IF($P23&gt;='Tabelas INSS e IR'!$B$7,($P23*'Tabelas INSS e IR'!$D$7)-'Tabelas INSS e IR'!$E$7,IF($P23&gt;='Tabelas INSS e IR'!$B$6,($P23*'Tabelas INSS e IR'!$D$6)-'Tabelas INSS e IR'!$E$6,IF($P23&gt;='Tabelas INSS e IR'!$B$5,($P23*'Tabelas INSS e IR'!$D$5)-'Tabelas INSS e IR'!$E$5,$P23*'Tabelas INSS e IR'!$D$4)))))</f>
        <v>379.65</v>
      </c>
      <c r="R23" s="133">
        <f>IF(OR($G23="EST",$G23="EFE"),0,IF($N23&gt;='Tabelas INSS e IR'!$B$8,'Tabelas INSS e IR'!$D$8,IF($N23&gt;='Tabelas INSS e IR'!$B$7,($N23*'Tabelas INSS e IR'!$D$7)-'Tabelas INSS e IR'!$E$7,IF($N23&gt;='Tabelas INSS e IR'!$B$6,($N23*'Tabelas INSS e IR'!$D$6)-'Tabelas INSS e IR'!$E$6,IF($N23&gt;='Tabelas INSS e IR'!$B$5,($N23*'Tabelas INSS e IR'!$D$5)-'Tabelas INSS e IR'!$E$5,$N23*'Tabelas INSS e IR'!$D$4)))))</f>
        <v>113.84999999999998</v>
      </c>
      <c r="S23" s="132"/>
      <c r="T23" s="294">
        <f>(IF(OR($G23="EST",$G23="EFE"),0,IF((Q23+S23)&gt;'Tabelas INSS e IR'!$D$8,'Tabelas INSS e IR'!$D$8-(S23+R23),(Q23-R23))))</f>
        <v>265.8</v>
      </c>
      <c r="U23" s="392">
        <f t="shared" si="9"/>
        <v>1404.15</v>
      </c>
      <c r="V23" s="137"/>
      <c r="W23" s="247">
        <f t="shared" si="3"/>
        <v>1404.15</v>
      </c>
      <c r="X23" s="291">
        <f t="shared" si="4"/>
        <v>2268.1999999999994</v>
      </c>
      <c r="Y23" s="133">
        <f t="shared" si="5"/>
        <v>3672.3499999999995</v>
      </c>
      <c r="Z23" s="133">
        <f>IF($Y23&lt;'Tabelas INSS e IR'!$H$5,0,IF($Y23&lt;'Tabelas INSS e IR'!$H$6,($Y23*'Tabelas INSS e IR'!$J$5)-'Tabelas INSS e IR'!$K$5,IF($Y23&lt;'Tabelas INSS e IR'!$H$7,($Y23*'Tabelas INSS e IR'!$J$6)-'Tabelas INSS e IR'!$K$6,IF($Y23&lt;'Tabelas INSS e IR'!$H$8,($Y23*'Tabelas INSS e IR'!$J$7)-'Tabelas INSS e IR'!$K$7,($Y23*'Tabelas INSS e IR'!$J$8)-'Tabelas INSS e IR'!$K$8))))</f>
        <v>156.69249999999982</v>
      </c>
      <c r="AA23" s="133">
        <f>IF($W23&lt;'Tabelas INSS e IR'!$H$5,0,IF($W23&lt;'Tabelas INSS e IR'!$H$6,($W23*'Tabelas INSS e IR'!$J$5)-'Tabelas INSS e IR'!$K$5,IF($W23&lt;'Tabelas INSS e IR'!$H$7,($W23*'Tabelas INSS e IR'!$J$6)-'Tabelas INSS e IR'!$K$6,IF($W23&lt;'Tabelas INSS e IR'!$H$8,($W23*'Tabelas INSS e IR'!$J$7)-'Tabelas INSS e IR'!$K$7,($W23*'Tabelas INSS e IR'!$J$8)-'Tabelas INSS e IR'!$K$8))))</f>
        <v>0</v>
      </c>
      <c r="AB23" s="294">
        <f t="shared" si="6"/>
        <v>156.69249999999982</v>
      </c>
      <c r="AC23" s="138"/>
      <c r="AD23" s="137"/>
      <c r="AE23" s="139"/>
      <c r="AF23" s="297">
        <f t="shared" si="7"/>
        <v>422.49249999999984</v>
      </c>
      <c r="AG23" s="297">
        <f t="shared" si="8"/>
        <v>2111.5074999999997</v>
      </c>
    </row>
    <row r="24" spans="1:34" s="463" customFormat="1" ht="15" customHeight="1" x14ac:dyDescent="0.25">
      <c r="A24" s="103">
        <v>11</v>
      </c>
      <c r="B24" s="403" t="s">
        <v>119</v>
      </c>
      <c r="C24" s="135">
        <v>43313</v>
      </c>
      <c r="D24" s="105" t="s">
        <v>120</v>
      </c>
      <c r="E24" s="104" t="s">
        <v>121</v>
      </c>
      <c r="F24" s="146" t="s">
        <v>63</v>
      </c>
      <c r="G24" s="104" t="s">
        <v>64</v>
      </c>
      <c r="H24" s="104" t="s">
        <v>122</v>
      </c>
      <c r="I24" s="148" t="s">
        <v>123</v>
      </c>
      <c r="J24" s="104" t="s">
        <v>124</v>
      </c>
      <c r="K24" s="104" t="s">
        <v>125</v>
      </c>
      <c r="L24" s="246">
        <v>1.1000000000000001</v>
      </c>
      <c r="M24" s="132">
        <f t="shared" si="0"/>
        <v>1991.0000000000002</v>
      </c>
      <c r="N24" s="408">
        <v>1780.24</v>
      </c>
      <c r="O24" s="133">
        <f t="shared" si="1"/>
        <v>1991.0000000000002</v>
      </c>
      <c r="P24" s="293">
        <f t="shared" si="2"/>
        <v>3771.2400000000002</v>
      </c>
      <c r="Q24" s="133">
        <f>IF(OR($G24="EST",$G24="EFE"),0,IF($P24&gt;='Tabelas INSS e IR'!$B$8,'Tabelas INSS e IR'!$D$8,IF($P24&gt;='Tabelas INSS e IR'!$B$7,($P24*'Tabelas INSS e IR'!$D$7)-'Tabelas INSS e IR'!$E$7,IF($P24&gt;='Tabelas INSS e IR'!$B$6,($P24*'Tabelas INSS e IR'!$D$6)-'Tabelas INSS e IR'!$E$6,IF($P24&gt;='Tabelas INSS e IR'!$B$5,($P24*'Tabelas INSS e IR'!$D$5)-'Tabelas INSS e IR'!$E$5,$P24*'Tabelas INSS e IR'!$D$4)))))</f>
        <v>345.9588</v>
      </c>
      <c r="R24" s="133">
        <f>IF(OR($G24="EST",$G24="EFE"),0,IF($N24&gt;='Tabelas INSS e IR'!$B$8,'Tabelas INSS e IR'!$D$8,IF($N24&gt;='Tabelas INSS e IR'!$B$7,($N24*'Tabelas INSS e IR'!$D$7)-'Tabelas INSS e IR'!$E$7,IF($N24&gt;='Tabelas INSS e IR'!$B$6,($N24*'Tabelas INSS e IR'!$D$6)-'Tabelas INSS e IR'!$E$6,IF($N24&gt;='Tabelas INSS e IR'!$B$5,($N24*'Tabelas INSS e IR'!$D$5)-'Tabelas INSS e IR'!$E$5,$N24*'Tabelas INSS e IR'!$D$4)))))</f>
        <v>137.45159999999998</v>
      </c>
      <c r="S24" s="132"/>
      <c r="T24" s="294">
        <f>(IF(OR($G24="EST",$G24="EFE"),0,IF((Q24+S24)&gt;'Tabelas INSS e IR'!$D$8,'Tabelas INSS e IR'!$D$8-(S24+R24),(Q24-R24))))</f>
        <v>208.50720000000001</v>
      </c>
      <c r="U24" s="392">
        <f t="shared" si="9"/>
        <v>1642.7883999999999</v>
      </c>
      <c r="V24" s="137"/>
      <c r="W24" s="247">
        <f t="shared" si="3"/>
        <v>1642.7883999999999</v>
      </c>
      <c r="X24" s="291">
        <f t="shared" si="4"/>
        <v>1782.4928000000002</v>
      </c>
      <c r="Y24" s="133">
        <f t="shared" si="5"/>
        <v>3425.2812000000004</v>
      </c>
      <c r="Z24" s="133">
        <f>IF($Y24&lt;'Tabelas INSS e IR'!$H$5,0,IF($Y24&lt;'Tabelas INSS e IR'!$H$6,($Y24*'Tabelas INSS e IR'!$J$5)-'Tabelas INSS e IR'!$K$5,IF($Y24&lt;'Tabelas INSS e IR'!$H$7,($Y24*'Tabelas INSS e IR'!$J$6)-'Tabelas INSS e IR'!$K$6,IF($Y24&lt;'Tabelas INSS e IR'!$H$8,($Y24*'Tabelas INSS e IR'!$J$7)-'Tabelas INSS e IR'!$K$7,($Y24*'Tabelas INSS e IR'!$J$8)-'Tabelas INSS e IR'!$K$8))))</f>
        <v>119.63218000000001</v>
      </c>
      <c r="AA24" s="133">
        <f>IF($W24&lt;'Tabelas INSS e IR'!$H$5,0,IF($W24&lt;'Tabelas INSS e IR'!$H$6,($W24*'Tabelas INSS e IR'!$J$5)-'Tabelas INSS e IR'!$K$5,IF($W24&lt;'Tabelas INSS e IR'!$H$7,($W24*'Tabelas INSS e IR'!$J$6)-'Tabelas INSS e IR'!$K$6,IF($W24&lt;'Tabelas INSS e IR'!$H$8,($W24*'Tabelas INSS e IR'!$J$7)-'Tabelas INSS e IR'!$K$7,($W24*'Tabelas INSS e IR'!$J$8)-'Tabelas INSS e IR'!$K$8))))</f>
        <v>0</v>
      </c>
      <c r="AB24" s="294">
        <f t="shared" si="6"/>
        <v>119.63218000000001</v>
      </c>
      <c r="AC24" s="138"/>
      <c r="AD24" s="137"/>
      <c r="AE24" s="139"/>
      <c r="AF24" s="297">
        <f t="shared" si="7"/>
        <v>328.13938000000002</v>
      </c>
      <c r="AG24" s="297">
        <f t="shared" si="8"/>
        <v>1662.8606200000002</v>
      </c>
    </row>
    <row r="25" spans="1:34" s="463" customFormat="1" ht="15" customHeight="1" x14ac:dyDescent="0.25">
      <c r="A25" s="103">
        <v>12</v>
      </c>
      <c r="B25" s="403" t="s">
        <v>126</v>
      </c>
      <c r="C25" s="135">
        <v>43262</v>
      </c>
      <c r="D25" s="105" t="s">
        <v>127</v>
      </c>
      <c r="E25" s="104" t="s">
        <v>128</v>
      </c>
      <c r="F25" s="146" t="s">
        <v>63</v>
      </c>
      <c r="G25" s="104" t="s">
        <v>64</v>
      </c>
      <c r="H25" s="104" t="s">
        <v>129</v>
      </c>
      <c r="I25" s="148" t="s">
        <v>130</v>
      </c>
      <c r="J25" s="104" t="s">
        <v>110</v>
      </c>
      <c r="K25" s="104" t="s">
        <v>131</v>
      </c>
      <c r="L25" s="246">
        <v>0.8</v>
      </c>
      <c r="M25" s="132">
        <f t="shared" si="0"/>
        <v>1448</v>
      </c>
      <c r="N25" s="408">
        <v>1518</v>
      </c>
      <c r="O25" s="133">
        <f t="shared" si="1"/>
        <v>1448</v>
      </c>
      <c r="P25" s="293">
        <f t="shared" si="2"/>
        <v>2966</v>
      </c>
      <c r="Q25" s="133">
        <f>IF(OR($G25="EST",$G25="EFE"),0,IF($P25&gt;='Tabelas INSS e IR'!$B$8,'Tabelas INSS e IR'!$D$8,IF($P25&gt;='Tabelas INSS e IR'!$B$7,($P25*'Tabelas INSS e IR'!$D$7)-'Tabelas INSS e IR'!$E$7,IF($P25&gt;='Tabelas INSS e IR'!$B$6,($P25*'Tabelas INSS e IR'!$D$6)-'Tabelas INSS e IR'!$E$6,IF($P25&gt;='Tabelas INSS e IR'!$B$5,($P25*'Tabelas INSS e IR'!$D$5)-'Tabelas INSS e IR'!$E$5,$P25*'Tabelas INSS e IR'!$D$4)))))</f>
        <v>249.32999999999996</v>
      </c>
      <c r="R25" s="133">
        <f>IF(OR($G25="EST",$G25="EFE"),0,IF($N25&gt;='Tabelas INSS e IR'!$B$8,'Tabelas INSS e IR'!$D$8,IF($N25&gt;='Tabelas INSS e IR'!$B$7,($N25*'Tabelas INSS e IR'!$D$7)-'Tabelas INSS e IR'!$E$7,IF($N25&gt;='Tabelas INSS e IR'!$B$6,($N25*'Tabelas INSS e IR'!$D$6)-'Tabelas INSS e IR'!$E$6,IF($N25&gt;='Tabelas INSS e IR'!$B$5,($N25*'Tabelas INSS e IR'!$D$5)-'Tabelas INSS e IR'!$E$5,$N25*'Tabelas INSS e IR'!$D$4)))))</f>
        <v>113.84999999999998</v>
      </c>
      <c r="S25" s="132"/>
      <c r="T25" s="294">
        <f>(IF(OR($G25="EST",$G25="EFE"),0,IF((Q25+S25)&gt;'Tabelas INSS e IR'!$D$8,'Tabelas INSS e IR'!$D$8-(S25+R25),(Q25-R25))))</f>
        <v>135.47999999999996</v>
      </c>
      <c r="U25" s="392">
        <f t="shared" si="9"/>
        <v>1404.15</v>
      </c>
      <c r="V25" s="137"/>
      <c r="W25" s="247">
        <f t="shared" si="3"/>
        <v>1404.15</v>
      </c>
      <c r="X25" s="291">
        <f t="shared" si="4"/>
        <v>1312.52</v>
      </c>
      <c r="Y25" s="133">
        <f t="shared" si="5"/>
        <v>2716.67</v>
      </c>
      <c r="Z25" s="133">
        <f>IF($Y25&lt;'Tabelas INSS e IR'!$H$5,0,IF($Y25&lt;'Tabelas INSS e IR'!$H$6,($Y25*'Tabelas INSS e IR'!$J$5)-'Tabelas INSS e IR'!$K$5,IF($Y25&lt;'Tabelas INSS e IR'!$H$7,($Y25*'Tabelas INSS e IR'!$J$6)-'Tabelas INSS e IR'!$K$6,IF($Y25&lt;'Tabelas INSS e IR'!$H$8,($Y25*'Tabelas INSS e IR'!$J$7)-'Tabelas INSS e IR'!$K$7,($Y25*'Tabelas INSS e IR'!$J$8)-'Tabelas INSS e IR'!$K$8))))</f>
        <v>21.590249999999969</v>
      </c>
      <c r="AA25" s="133">
        <f>IF($W25&lt;'Tabelas INSS e IR'!$H$5,0,IF($W25&lt;'Tabelas INSS e IR'!$H$6,($W25*'Tabelas INSS e IR'!$J$5)-'Tabelas INSS e IR'!$K$5,IF($W25&lt;'Tabelas INSS e IR'!$H$7,($W25*'Tabelas INSS e IR'!$J$6)-'Tabelas INSS e IR'!$K$6,IF($W25&lt;'Tabelas INSS e IR'!$H$8,($W25*'Tabelas INSS e IR'!$J$7)-'Tabelas INSS e IR'!$K$7,($W25*'Tabelas INSS e IR'!$J$8)-'Tabelas INSS e IR'!$K$8))))</f>
        <v>0</v>
      </c>
      <c r="AB25" s="294">
        <f t="shared" si="6"/>
        <v>21.590249999999969</v>
      </c>
      <c r="AC25" s="138"/>
      <c r="AD25" s="137"/>
      <c r="AE25" s="139"/>
      <c r="AF25" s="297">
        <f t="shared" si="7"/>
        <v>157.07024999999993</v>
      </c>
      <c r="AG25" s="297">
        <f t="shared" si="8"/>
        <v>1290.92975</v>
      </c>
    </row>
    <row r="26" spans="1:34" s="463" customFormat="1" ht="15" customHeight="1" x14ac:dyDescent="0.25">
      <c r="A26" s="103">
        <v>13</v>
      </c>
      <c r="B26" s="522" t="s">
        <v>132</v>
      </c>
      <c r="C26" s="135">
        <v>37696</v>
      </c>
      <c r="D26" s="105" t="s">
        <v>133</v>
      </c>
      <c r="E26" s="104" t="s">
        <v>134</v>
      </c>
      <c r="F26" s="146" t="s">
        <v>63</v>
      </c>
      <c r="G26" s="104" t="s">
        <v>64</v>
      </c>
      <c r="H26" s="136">
        <v>426723</v>
      </c>
      <c r="I26" s="148" t="s">
        <v>135</v>
      </c>
      <c r="J26" s="104" t="s">
        <v>136</v>
      </c>
      <c r="K26" s="104" t="s">
        <v>137</v>
      </c>
      <c r="L26" s="246">
        <v>0.65</v>
      </c>
      <c r="M26" s="132">
        <f t="shared" si="0"/>
        <v>1176.5</v>
      </c>
      <c r="N26" s="305"/>
      <c r="O26" s="133">
        <f t="shared" si="1"/>
        <v>1176.5</v>
      </c>
      <c r="P26" s="293">
        <f t="shared" si="2"/>
        <v>1176.5</v>
      </c>
      <c r="Q26" s="133">
        <f>IF(OR($G26="EST",$G26="EFE"),0,IF($P26&gt;='Tabelas INSS e IR'!$B$8,'Tabelas INSS e IR'!$D$8,IF($P26&gt;='Tabelas INSS e IR'!$B$7,($P26*'Tabelas INSS e IR'!$D$7)-'Tabelas INSS e IR'!$E$7,IF($P26&gt;='Tabelas INSS e IR'!$B$6,($P26*'Tabelas INSS e IR'!$D$6)-'Tabelas INSS e IR'!$E$6,IF($P26&gt;='Tabelas INSS e IR'!$B$5,($P26*'Tabelas INSS e IR'!$D$5)-'Tabelas INSS e IR'!$E$5,$P26*'Tabelas INSS e IR'!$D$4)))))</f>
        <v>88.237499999999983</v>
      </c>
      <c r="R26" s="133">
        <f>IF(OR($G26="EST",$G26="EFE"),0,IF($N26&gt;='Tabelas INSS e IR'!$B$8,'Tabelas INSS e IR'!$D$8,IF($N26&gt;='Tabelas INSS e IR'!$B$7,($N26*'Tabelas INSS e IR'!$D$7)-'Tabelas INSS e IR'!$E$7,IF($N26&gt;='Tabelas INSS e IR'!$B$6,($N26*'Tabelas INSS e IR'!$D$6)-'Tabelas INSS e IR'!$E$6,IF($N26&gt;='Tabelas INSS e IR'!$B$5,($N26*'Tabelas INSS e IR'!$D$5)-'Tabelas INSS e IR'!$E$5,$N26*'Tabelas INSS e IR'!$D$4)))))</f>
        <v>0</v>
      </c>
      <c r="S26" s="132"/>
      <c r="T26" s="294">
        <f>(IF(OR($G26="EST",$G26="EFE"),0,IF((Q26+S26)&gt;'Tabelas INSS e IR'!$D$8,'Tabelas INSS e IR'!$D$8-(S26+R26),(Q26-R26))))</f>
        <v>88.237499999999983</v>
      </c>
      <c r="U26" s="392">
        <f t="shared" si="9"/>
        <v>0</v>
      </c>
      <c r="V26" s="137"/>
      <c r="W26" s="247">
        <f t="shared" si="3"/>
        <v>0</v>
      </c>
      <c r="X26" s="291">
        <f t="shared" si="4"/>
        <v>1088.2625</v>
      </c>
      <c r="Y26" s="133">
        <f t="shared" si="5"/>
        <v>1088.2625</v>
      </c>
      <c r="Z26" s="133">
        <f>IF($Y26&lt;'Tabelas INSS e IR'!$H$5,0,IF($Y26&lt;'Tabelas INSS e IR'!$H$6,($Y26*'Tabelas INSS e IR'!$J$5)-'Tabelas INSS e IR'!$K$5,IF($Y26&lt;'Tabelas INSS e IR'!$H$7,($Y26*'Tabelas INSS e IR'!$J$6)-'Tabelas INSS e IR'!$K$6,IF($Y26&lt;'Tabelas INSS e IR'!$H$8,($Y26*'Tabelas INSS e IR'!$J$7)-'Tabelas INSS e IR'!$K$7,($Y26*'Tabelas INSS e IR'!$J$8)-'Tabelas INSS e IR'!$K$8))))</f>
        <v>0</v>
      </c>
      <c r="AA26" s="133">
        <f>IF($W26&lt;'Tabelas INSS e IR'!$H$5,0,IF($W26&lt;'Tabelas INSS e IR'!$H$6,($W26*'Tabelas INSS e IR'!$J$5)-'Tabelas INSS e IR'!$K$5,IF($W26&lt;'Tabelas INSS e IR'!$H$7,($W26*'Tabelas INSS e IR'!$J$6)-'Tabelas INSS e IR'!$K$6,IF($W26&lt;'Tabelas INSS e IR'!$H$8,($W26*'Tabelas INSS e IR'!$J$7)-'Tabelas INSS e IR'!$K$7,($W26*'Tabelas INSS e IR'!$J$8)-'Tabelas INSS e IR'!$K$8))))</f>
        <v>0</v>
      </c>
      <c r="AB26" s="294">
        <f t="shared" si="6"/>
        <v>0</v>
      </c>
      <c r="AC26" s="138"/>
      <c r="AD26" s="137"/>
      <c r="AE26" s="139"/>
      <c r="AF26" s="297">
        <f t="shared" si="7"/>
        <v>88.237499999999983</v>
      </c>
      <c r="AG26" s="297">
        <f t="shared" si="8"/>
        <v>1088.2625</v>
      </c>
    </row>
    <row r="27" spans="1:34" s="463" customFormat="1" ht="15" customHeight="1" x14ac:dyDescent="0.25">
      <c r="A27" s="104">
        <v>14</v>
      </c>
      <c r="B27" s="525" t="s">
        <v>138</v>
      </c>
      <c r="C27" s="135">
        <v>40696</v>
      </c>
      <c r="D27" s="104" t="s">
        <v>61</v>
      </c>
      <c r="E27" s="104" t="s">
        <v>62</v>
      </c>
      <c r="F27" s="146" t="s">
        <v>63</v>
      </c>
      <c r="G27" s="104" t="s">
        <v>64</v>
      </c>
      <c r="H27" s="149">
        <v>946223</v>
      </c>
      <c r="I27" s="150" t="s">
        <v>139</v>
      </c>
      <c r="J27" s="111" t="s">
        <v>140</v>
      </c>
      <c r="K27" s="111" t="s">
        <v>141</v>
      </c>
      <c r="L27" s="246">
        <v>1.1499999999999999</v>
      </c>
      <c r="M27" s="132">
        <f t="shared" si="0"/>
        <v>2081.5</v>
      </c>
      <c r="N27" s="305"/>
      <c r="O27" s="133">
        <f t="shared" si="1"/>
        <v>2081.5</v>
      </c>
      <c r="P27" s="293">
        <f t="shared" si="2"/>
        <v>2081.5</v>
      </c>
      <c r="Q27" s="133">
        <f>IF(OR($G27="EST",$G27="EFE"),0,IF($P27&gt;='Tabelas INSS e IR'!$B$8,'Tabelas INSS e IR'!$D$8,IF($P27&gt;='Tabelas INSS e IR'!$B$7,($P27*'Tabelas INSS e IR'!$D$7)-'Tabelas INSS e IR'!$E$7,IF($P27&gt;='Tabelas INSS e IR'!$B$6,($P27*'Tabelas INSS e IR'!$D$6)-'Tabelas INSS e IR'!$E$6,IF($P27&gt;='Tabelas INSS e IR'!$B$5,($P27*'Tabelas INSS e IR'!$D$5)-'Tabelas INSS e IR'!$E$5,$P27*'Tabelas INSS e IR'!$D$4)))))</f>
        <v>164.56499999999997</v>
      </c>
      <c r="R27" s="133">
        <f>IF(OR($G27="EST",$G27="EFE"),0,IF($N27&gt;='Tabelas INSS e IR'!$B$8,'Tabelas INSS e IR'!$D$8,IF($N27&gt;='Tabelas INSS e IR'!$B$7,($N27*'Tabelas INSS e IR'!$D$7)-'Tabelas INSS e IR'!$E$7,IF($N27&gt;='Tabelas INSS e IR'!$B$6,($N27*'Tabelas INSS e IR'!$D$6)-'Tabelas INSS e IR'!$E$6,IF($N27&gt;='Tabelas INSS e IR'!$B$5,($N27*'Tabelas INSS e IR'!$D$5)-'Tabelas INSS e IR'!$E$5,$N27*'Tabelas INSS e IR'!$D$4)))))</f>
        <v>0</v>
      </c>
      <c r="S27" s="132"/>
      <c r="T27" s="294">
        <f>(IF(OR($G27="EST",$G27="EFE"),0,IF((Q27+S27)&gt;'Tabelas INSS e IR'!$D$8,'Tabelas INSS e IR'!$D$8-(S27+R27),(Q27-R27))))</f>
        <v>164.56499999999997</v>
      </c>
      <c r="U27" s="392">
        <f t="shared" si="9"/>
        <v>0</v>
      </c>
      <c r="V27" s="137"/>
      <c r="W27" s="247">
        <f t="shared" si="3"/>
        <v>0</v>
      </c>
      <c r="X27" s="291">
        <f t="shared" si="4"/>
        <v>1916.9349999999999</v>
      </c>
      <c r="Y27" s="133">
        <f t="shared" si="5"/>
        <v>1916.9349999999999</v>
      </c>
      <c r="Z27" s="133">
        <f>IF($Y27&lt;'Tabelas INSS e IR'!$H$5,0,IF($Y27&lt;'Tabelas INSS e IR'!$H$6,($Y27*'Tabelas INSS e IR'!$J$5)-'Tabelas INSS e IR'!$K$5,IF($Y27&lt;'Tabelas INSS e IR'!$H$7,($Y27*'Tabelas INSS e IR'!$J$6)-'Tabelas INSS e IR'!$K$6,IF($Y27&lt;'Tabelas INSS e IR'!$H$8,($Y27*'Tabelas INSS e IR'!$J$7)-'Tabelas INSS e IR'!$K$7,($Y27*'Tabelas INSS e IR'!$J$8)-'Tabelas INSS e IR'!$K$8))))</f>
        <v>0</v>
      </c>
      <c r="AA27" s="133">
        <f>IF($W27&lt;'Tabelas INSS e IR'!$H$5,0,IF($W27&lt;'Tabelas INSS e IR'!$H$6,($W27*'Tabelas INSS e IR'!$J$5)-'Tabelas INSS e IR'!$K$5,IF($W27&lt;'Tabelas INSS e IR'!$H$7,($W27*'Tabelas INSS e IR'!$J$6)-'Tabelas INSS e IR'!$K$6,IF($W27&lt;'Tabelas INSS e IR'!$H$8,($W27*'Tabelas INSS e IR'!$J$7)-'Tabelas INSS e IR'!$K$7,($W27*'Tabelas INSS e IR'!$J$8)-'Tabelas INSS e IR'!$K$8))))</f>
        <v>0</v>
      </c>
      <c r="AB27" s="294">
        <f t="shared" si="6"/>
        <v>0</v>
      </c>
      <c r="AC27" s="138"/>
      <c r="AD27" s="137"/>
      <c r="AE27" s="139"/>
      <c r="AF27" s="297">
        <f t="shared" si="7"/>
        <v>164.56499999999997</v>
      </c>
      <c r="AG27" s="297">
        <f t="shared" si="8"/>
        <v>1916.9349999999999</v>
      </c>
    </row>
    <row r="28" spans="1:34" s="465" customFormat="1" ht="15" customHeight="1" x14ac:dyDescent="0.25">
      <c r="A28" s="103">
        <v>15</v>
      </c>
      <c r="B28" s="531" t="s">
        <v>142</v>
      </c>
      <c r="C28" s="152">
        <v>43262</v>
      </c>
      <c r="D28" s="107" t="s">
        <v>143</v>
      </c>
      <c r="E28" s="151" t="s">
        <v>144</v>
      </c>
      <c r="F28" s="146" t="s">
        <v>63</v>
      </c>
      <c r="G28" s="105" t="s">
        <v>64</v>
      </c>
      <c r="H28" s="153">
        <v>24912743</v>
      </c>
      <c r="I28" s="151" t="s">
        <v>145</v>
      </c>
      <c r="J28" s="151" t="s">
        <v>84</v>
      </c>
      <c r="K28" s="151" t="s">
        <v>146</v>
      </c>
      <c r="L28" s="534">
        <v>0.5</v>
      </c>
      <c r="M28" s="132">
        <f t="shared" si="0"/>
        <v>905</v>
      </c>
      <c r="N28" s="408">
        <v>2024</v>
      </c>
      <c r="O28" s="133">
        <f t="shared" si="1"/>
        <v>905</v>
      </c>
      <c r="P28" s="293">
        <f t="shared" si="2"/>
        <v>2929</v>
      </c>
      <c r="Q28" s="133">
        <f>IF(OR($G28="EST",$G28="EFE"),0,IF($P28&gt;='Tabelas INSS e IR'!$B$8,'Tabelas INSS e IR'!$D$8,IF($P28&gt;='Tabelas INSS e IR'!$B$7,($P28*'Tabelas INSS e IR'!$D$7)-'Tabelas INSS e IR'!$E$7,IF($P28&gt;='Tabelas INSS e IR'!$B$6,($P28*'Tabelas INSS e IR'!$D$6)-'Tabelas INSS e IR'!$E$6,IF($P28&gt;='Tabelas INSS e IR'!$B$5,($P28*'Tabelas INSS e IR'!$D$5)-'Tabelas INSS e IR'!$E$5,$P28*'Tabelas INSS e IR'!$D$4)))))</f>
        <v>244.88999999999996</v>
      </c>
      <c r="R28" s="133">
        <f>IF(OR($G28="EST",$G28="EFE"),0,IF($N28&gt;='Tabelas INSS e IR'!$B$8,'Tabelas INSS e IR'!$D$8,IF($N28&gt;='Tabelas INSS e IR'!$B$7,($N28*'Tabelas INSS e IR'!$D$7)-'Tabelas INSS e IR'!$E$7,IF($N28&gt;='Tabelas INSS e IR'!$B$6,($N28*'Tabelas INSS e IR'!$D$6)-'Tabelas INSS e IR'!$E$6,IF($N28&gt;='Tabelas INSS e IR'!$B$5,($N28*'Tabelas INSS e IR'!$D$5)-'Tabelas INSS e IR'!$E$5,$N28*'Tabelas INSS e IR'!$D$4)))))</f>
        <v>159.38999999999999</v>
      </c>
      <c r="S28" s="132"/>
      <c r="T28" s="294">
        <f>(IF(OR($G28="EST",$G28="EFE"),0,IF((Q28+S28)&gt;'Tabelas INSS e IR'!$D$8,'Tabelas INSS e IR'!$D$8-(S28+R28),(Q28-R28))))</f>
        <v>85.499999999999972</v>
      </c>
      <c r="U28" s="392">
        <f t="shared" si="9"/>
        <v>1864.6100000000001</v>
      </c>
      <c r="V28" s="141"/>
      <c r="W28" s="247">
        <f t="shared" si="3"/>
        <v>1864.6100000000001</v>
      </c>
      <c r="X28" s="291">
        <f t="shared" si="4"/>
        <v>819.5</v>
      </c>
      <c r="Y28" s="133">
        <f t="shared" si="5"/>
        <v>2684.11</v>
      </c>
      <c r="Z28" s="133">
        <f>IF($Y28&lt;'Tabelas INSS e IR'!$H$5,0,IF($Y28&lt;'Tabelas INSS e IR'!$H$6,($Y28*'Tabelas INSS e IR'!$J$5)-'Tabelas INSS e IR'!$K$5,IF($Y28&lt;'Tabelas INSS e IR'!$H$7,($Y28*'Tabelas INSS e IR'!$J$6)-'Tabelas INSS e IR'!$K$6,IF($Y28&lt;'Tabelas INSS e IR'!$H$8,($Y28*'Tabelas INSS e IR'!$J$7)-'Tabelas INSS e IR'!$K$7,($Y28*'Tabelas INSS e IR'!$J$8)-'Tabelas INSS e IR'!$K$8))))</f>
        <v>19.148249999999962</v>
      </c>
      <c r="AA28" s="133">
        <f>IF($W28&lt;'Tabelas INSS e IR'!$H$5,0,IF($W28&lt;'Tabelas INSS e IR'!$H$6,($W28*'Tabelas INSS e IR'!$J$5)-'Tabelas INSS e IR'!$K$5,IF($W28&lt;'Tabelas INSS e IR'!$H$7,($W28*'Tabelas INSS e IR'!$J$6)-'Tabelas INSS e IR'!$K$6,IF($W28&lt;'Tabelas INSS e IR'!$H$8,($W28*'Tabelas INSS e IR'!$J$7)-'Tabelas INSS e IR'!$K$7,($W28*'Tabelas INSS e IR'!$J$8)-'Tabelas INSS e IR'!$K$8))))</f>
        <v>0</v>
      </c>
      <c r="AB28" s="294">
        <f t="shared" si="6"/>
        <v>19.148249999999962</v>
      </c>
      <c r="AC28" s="154"/>
      <c r="AD28" s="141"/>
      <c r="AE28" s="147"/>
      <c r="AF28" s="297">
        <f t="shared" si="7"/>
        <v>104.64824999999993</v>
      </c>
      <c r="AG28" s="297">
        <f t="shared" si="8"/>
        <v>800.35175000000004</v>
      </c>
    </row>
    <row r="29" spans="1:34" s="463" customFormat="1" ht="15" customHeight="1" x14ac:dyDescent="0.25">
      <c r="A29" s="103">
        <v>16</v>
      </c>
      <c r="B29" s="527" t="s">
        <v>147</v>
      </c>
      <c r="C29" s="155">
        <v>42583</v>
      </c>
      <c r="D29" s="108" t="s">
        <v>148</v>
      </c>
      <c r="E29" s="104" t="s">
        <v>149</v>
      </c>
      <c r="F29" s="156" t="s">
        <v>63</v>
      </c>
      <c r="G29" s="106" t="s">
        <v>64</v>
      </c>
      <c r="H29" s="103">
        <v>32333455</v>
      </c>
      <c r="I29" s="103" t="s">
        <v>150</v>
      </c>
      <c r="J29" s="103" t="s">
        <v>117</v>
      </c>
      <c r="K29" s="157" t="s">
        <v>151</v>
      </c>
      <c r="L29" s="246">
        <v>1.1000000000000001</v>
      </c>
      <c r="M29" s="132">
        <f t="shared" si="0"/>
        <v>1991.0000000000002</v>
      </c>
      <c r="N29" s="408">
        <v>1518</v>
      </c>
      <c r="O29" s="133">
        <f t="shared" si="1"/>
        <v>1991.0000000000002</v>
      </c>
      <c r="P29" s="293">
        <f t="shared" si="2"/>
        <v>3509</v>
      </c>
      <c r="Q29" s="133">
        <f>IF(OR($G29="EST",$G29="EFE"),0,IF($P29&gt;='Tabelas INSS e IR'!$B$8,'Tabelas INSS e IR'!$D$8,IF($P29&gt;='Tabelas INSS e IR'!$B$7,($P29*'Tabelas INSS e IR'!$D$7)-'Tabelas INSS e IR'!$E$7,IF($P29&gt;='Tabelas INSS e IR'!$B$6,($P29*'Tabelas INSS e IR'!$D$6)-'Tabelas INSS e IR'!$E$6,IF($P29&gt;='Tabelas INSS e IR'!$B$5,($P29*'Tabelas INSS e IR'!$D$5)-'Tabelas INSS e IR'!$E$5,$P29*'Tabelas INSS e IR'!$D$4)))))</f>
        <v>314.49</v>
      </c>
      <c r="R29" s="133">
        <f>IF(OR($G29="EST",$G29="EFE"),0,IF($N29&gt;='Tabelas INSS e IR'!$B$8,'Tabelas INSS e IR'!$D$8,IF($N29&gt;='Tabelas INSS e IR'!$B$7,($N29*'Tabelas INSS e IR'!$D$7)-'Tabelas INSS e IR'!$E$7,IF($N29&gt;='Tabelas INSS e IR'!$B$6,($N29*'Tabelas INSS e IR'!$D$6)-'Tabelas INSS e IR'!$E$6,IF($N29&gt;='Tabelas INSS e IR'!$B$5,($N29*'Tabelas INSS e IR'!$D$5)-'Tabelas INSS e IR'!$E$5,$N29*'Tabelas INSS e IR'!$D$4)))))</f>
        <v>113.84999999999998</v>
      </c>
      <c r="S29" s="132"/>
      <c r="T29" s="294">
        <f>(IF(OR($G29="EST",$G29="EFE"),0,IF((Q29+S29)&gt;'Tabelas INSS e IR'!$D$8,'Tabelas INSS e IR'!$D$8-(S29+R29),(Q29-R29))))</f>
        <v>200.64000000000004</v>
      </c>
      <c r="U29" s="392">
        <f t="shared" si="9"/>
        <v>1404.15</v>
      </c>
      <c r="V29" s="137"/>
      <c r="W29" s="247">
        <f t="shared" si="3"/>
        <v>1404.15</v>
      </c>
      <c r="X29" s="291">
        <f t="shared" si="4"/>
        <v>1790.3600000000001</v>
      </c>
      <c r="Y29" s="133">
        <f t="shared" si="5"/>
        <v>3194.51</v>
      </c>
      <c r="Z29" s="133">
        <f>IF($Y29&lt;'Tabelas INSS e IR'!$H$5,0,IF($Y29&lt;'Tabelas INSS e IR'!$H$6,($Y29*'Tabelas INSS e IR'!$J$5)-'Tabelas INSS e IR'!$K$5,IF($Y29&lt;'Tabelas INSS e IR'!$H$7,($Y29*'Tabelas INSS e IR'!$J$6)-'Tabelas INSS e IR'!$K$6,IF($Y29&lt;'Tabelas INSS e IR'!$H$8,($Y29*'Tabelas INSS e IR'!$J$7)-'Tabelas INSS e IR'!$K$7,($Y29*'Tabelas INSS e IR'!$J$8)-'Tabelas INSS e IR'!$K$8))))</f>
        <v>85.016500000000008</v>
      </c>
      <c r="AA29" s="133">
        <f>IF($W29&lt;'Tabelas INSS e IR'!$H$5,0,IF($W29&lt;'Tabelas INSS e IR'!$H$6,($W29*'Tabelas INSS e IR'!$J$5)-'Tabelas INSS e IR'!$K$5,IF($W29&lt;'Tabelas INSS e IR'!$H$7,($W29*'Tabelas INSS e IR'!$J$6)-'Tabelas INSS e IR'!$K$6,IF($W29&lt;'Tabelas INSS e IR'!$H$8,($W29*'Tabelas INSS e IR'!$J$7)-'Tabelas INSS e IR'!$K$7,($W29*'Tabelas INSS e IR'!$J$8)-'Tabelas INSS e IR'!$K$8))))</f>
        <v>0</v>
      </c>
      <c r="AB29" s="294">
        <f t="shared" si="6"/>
        <v>85.016500000000008</v>
      </c>
      <c r="AC29" s="138"/>
      <c r="AD29" s="137"/>
      <c r="AE29" s="139"/>
      <c r="AF29" s="297">
        <f t="shared" si="7"/>
        <v>285.65650000000005</v>
      </c>
      <c r="AG29" s="297">
        <f t="shared" si="8"/>
        <v>1705.3435000000002</v>
      </c>
    </row>
    <row r="30" spans="1:34" s="463" customFormat="1" ht="15" customHeight="1" x14ac:dyDescent="0.25">
      <c r="A30" s="103">
        <v>17</v>
      </c>
      <c r="B30" s="403" t="s">
        <v>152</v>
      </c>
      <c r="C30" s="135">
        <v>43263</v>
      </c>
      <c r="D30" s="105" t="s">
        <v>153</v>
      </c>
      <c r="E30" s="104" t="s">
        <v>154</v>
      </c>
      <c r="F30" s="146" t="s">
        <v>63</v>
      </c>
      <c r="G30" s="105" t="s">
        <v>64</v>
      </c>
      <c r="H30" s="104" t="s">
        <v>155</v>
      </c>
      <c r="I30" s="148" t="s">
        <v>156</v>
      </c>
      <c r="J30" s="104" t="s">
        <v>157</v>
      </c>
      <c r="K30" s="146">
        <v>655024</v>
      </c>
      <c r="L30" s="246">
        <v>1.5</v>
      </c>
      <c r="M30" s="132">
        <f t="shared" si="0"/>
        <v>2715</v>
      </c>
      <c r="N30" s="408">
        <v>1518</v>
      </c>
      <c r="O30" s="133">
        <f t="shared" si="1"/>
        <v>2715</v>
      </c>
      <c r="P30" s="293">
        <f t="shared" si="2"/>
        <v>4233</v>
      </c>
      <c r="Q30" s="133">
        <f>IF(OR($G30="EST",$G30="EFE"),0,IF($P30&gt;='Tabelas INSS e IR'!$B$8,'Tabelas INSS e IR'!$D$8,IF($P30&gt;='Tabelas INSS e IR'!$B$7,($P30*'Tabelas INSS e IR'!$D$7)-'Tabelas INSS e IR'!$E$7,IF($P30&gt;='Tabelas INSS e IR'!$B$6,($P30*'Tabelas INSS e IR'!$D$6)-'Tabelas INSS e IR'!$E$6,IF($P30&gt;='Tabelas INSS e IR'!$B$5,($P30*'Tabelas INSS e IR'!$D$5)-'Tabelas INSS e IR'!$E$5,$P30*'Tabelas INSS e IR'!$D$4)))))</f>
        <v>402.22</v>
      </c>
      <c r="R30" s="133">
        <f>IF(OR($G30="EST",$G30="EFE"),0,IF($N30&gt;='Tabelas INSS e IR'!$B$8,'Tabelas INSS e IR'!$D$8,IF($N30&gt;='Tabelas INSS e IR'!$B$7,($N30*'Tabelas INSS e IR'!$D$7)-'Tabelas INSS e IR'!$E$7,IF($N30&gt;='Tabelas INSS e IR'!$B$6,($N30*'Tabelas INSS e IR'!$D$6)-'Tabelas INSS e IR'!$E$6,IF($N30&gt;='Tabelas INSS e IR'!$B$5,($N30*'Tabelas INSS e IR'!$D$5)-'Tabelas INSS e IR'!$E$5,$N30*'Tabelas INSS e IR'!$D$4)))))</f>
        <v>113.84999999999998</v>
      </c>
      <c r="S30" s="132"/>
      <c r="T30" s="294">
        <f>(IF(OR($G30="EST",$G30="EFE"),0,IF((Q30+S30)&gt;'Tabelas INSS e IR'!$D$8,'Tabelas INSS e IR'!$D$8-(S30+R30),(Q30-R30))))</f>
        <v>288.37000000000006</v>
      </c>
      <c r="U30" s="392">
        <f t="shared" si="9"/>
        <v>1404.15</v>
      </c>
      <c r="V30" s="137"/>
      <c r="W30" s="247">
        <f t="shared" si="3"/>
        <v>1404.15</v>
      </c>
      <c r="X30" s="291">
        <f t="shared" si="4"/>
        <v>2426.63</v>
      </c>
      <c r="Y30" s="133">
        <f t="shared" si="5"/>
        <v>3830.78</v>
      </c>
      <c r="Z30" s="133">
        <f>IF($Y30&lt;'Tabelas INSS e IR'!$H$5,0,IF($Y30&lt;'Tabelas INSS e IR'!$H$6,($Y30*'Tabelas INSS e IR'!$J$5)-'Tabelas INSS e IR'!$K$5,IF($Y30&lt;'Tabelas INSS e IR'!$H$7,($Y30*'Tabelas INSS e IR'!$J$6)-'Tabelas INSS e IR'!$K$6,IF($Y30&lt;'Tabelas INSS e IR'!$H$8,($Y30*'Tabelas INSS e IR'!$J$7)-'Tabelas INSS e IR'!$K$7,($Y30*'Tabelas INSS e IR'!$J$8)-'Tabelas INSS e IR'!$K$8))))</f>
        <v>186.43550000000005</v>
      </c>
      <c r="AA30" s="133">
        <f>IF($W30&lt;'Tabelas INSS e IR'!$H$5,0,IF($W30&lt;'Tabelas INSS e IR'!$H$6,($W30*'Tabelas INSS e IR'!$J$5)-'Tabelas INSS e IR'!$K$5,IF($W30&lt;'Tabelas INSS e IR'!$H$7,($W30*'Tabelas INSS e IR'!$J$6)-'Tabelas INSS e IR'!$K$6,IF($W30&lt;'Tabelas INSS e IR'!$H$8,($W30*'Tabelas INSS e IR'!$J$7)-'Tabelas INSS e IR'!$K$7,($W30*'Tabelas INSS e IR'!$J$8)-'Tabelas INSS e IR'!$K$8))))</f>
        <v>0</v>
      </c>
      <c r="AB30" s="294">
        <f t="shared" si="6"/>
        <v>186.43550000000005</v>
      </c>
      <c r="AC30" s="138"/>
      <c r="AD30" s="137"/>
      <c r="AE30" s="139"/>
      <c r="AF30" s="297">
        <f t="shared" si="7"/>
        <v>474.80550000000011</v>
      </c>
      <c r="AG30" s="297">
        <f t="shared" si="8"/>
        <v>2240.1945000000001</v>
      </c>
    </row>
    <row r="31" spans="1:34" s="463" customFormat="1" ht="15" customHeight="1" x14ac:dyDescent="0.25">
      <c r="A31" s="104">
        <v>18</v>
      </c>
      <c r="B31" s="522" t="s">
        <v>158</v>
      </c>
      <c r="C31" s="135">
        <v>39295</v>
      </c>
      <c r="D31" s="105" t="s">
        <v>61</v>
      </c>
      <c r="E31" s="104" t="s">
        <v>62</v>
      </c>
      <c r="F31" s="146" t="s">
        <v>63</v>
      </c>
      <c r="G31" s="104" t="s">
        <v>64</v>
      </c>
      <c r="H31" s="103" t="s">
        <v>159</v>
      </c>
      <c r="I31" s="158" t="s">
        <v>160</v>
      </c>
      <c r="J31" s="103" t="s">
        <v>161</v>
      </c>
      <c r="K31" s="104" t="s">
        <v>162</v>
      </c>
      <c r="L31" s="246">
        <v>1.2</v>
      </c>
      <c r="M31" s="132">
        <f t="shared" si="0"/>
        <v>2172</v>
      </c>
      <c r="N31" s="305"/>
      <c r="O31" s="133">
        <f t="shared" si="1"/>
        <v>2172</v>
      </c>
      <c r="P31" s="293">
        <f t="shared" si="2"/>
        <v>2172</v>
      </c>
      <c r="Q31" s="133">
        <f>IF(OR($G31="EST",$G31="EFE"),0,IF($P31&gt;='Tabelas INSS e IR'!$B$8,'Tabelas INSS e IR'!$D$8,IF($P31&gt;='Tabelas INSS e IR'!$B$7,($P31*'Tabelas INSS e IR'!$D$7)-'Tabelas INSS e IR'!$E$7,IF($P31&gt;='Tabelas INSS e IR'!$B$6,($P31*'Tabelas INSS e IR'!$D$6)-'Tabelas INSS e IR'!$E$6,IF($P31&gt;='Tabelas INSS e IR'!$B$5,($P31*'Tabelas INSS e IR'!$D$5)-'Tabelas INSS e IR'!$E$5,$P31*'Tabelas INSS e IR'!$D$4)))))</f>
        <v>172.70999999999998</v>
      </c>
      <c r="R31" s="133">
        <f>IF(OR($G31="EST",$G31="EFE"),0,IF($N31&gt;='Tabelas INSS e IR'!$B$8,'Tabelas INSS e IR'!$D$8,IF($N31&gt;='Tabelas INSS e IR'!$B$7,($N31*'Tabelas INSS e IR'!$D$7)-'Tabelas INSS e IR'!$E$7,IF($N31&gt;='Tabelas INSS e IR'!$B$6,($N31*'Tabelas INSS e IR'!$D$6)-'Tabelas INSS e IR'!$E$6,IF($N31&gt;='Tabelas INSS e IR'!$B$5,($N31*'Tabelas INSS e IR'!$D$5)-'Tabelas INSS e IR'!$E$5,$N31*'Tabelas INSS e IR'!$D$4)))))</f>
        <v>0</v>
      </c>
      <c r="S31" s="132"/>
      <c r="T31" s="294">
        <f>(IF(OR($G31="EST",$G31="EFE"),0,IF((Q31+S31)&gt;'Tabelas INSS e IR'!$D$8,'Tabelas INSS e IR'!$D$8-(S31+R31),(Q31-R31))))</f>
        <v>172.70999999999998</v>
      </c>
      <c r="U31" s="392">
        <f t="shared" si="9"/>
        <v>0</v>
      </c>
      <c r="V31" s="137"/>
      <c r="W31" s="247">
        <f t="shared" si="3"/>
        <v>0</v>
      </c>
      <c r="X31" s="291">
        <f t="shared" si="4"/>
        <v>1999.29</v>
      </c>
      <c r="Y31" s="133">
        <f t="shared" si="5"/>
        <v>1999.29</v>
      </c>
      <c r="Z31" s="133">
        <f>IF($Y31&lt;'Tabelas INSS e IR'!$H$5,0,IF($Y31&lt;'Tabelas INSS e IR'!$H$6,($Y31*'Tabelas INSS e IR'!$J$5)-'Tabelas INSS e IR'!$K$5,IF($Y31&lt;'Tabelas INSS e IR'!$H$7,($Y31*'Tabelas INSS e IR'!$J$6)-'Tabelas INSS e IR'!$K$6,IF($Y31&lt;'Tabelas INSS e IR'!$H$8,($Y31*'Tabelas INSS e IR'!$J$7)-'Tabelas INSS e IR'!$K$7,($Y31*'Tabelas INSS e IR'!$J$8)-'Tabelas INSS e IR'!$K$8))))</f>
        <v>0</v>
      </c>
      <c r="AA31" s="133">
        <f>IF($W31&lt;'Tabelas INSS e IR'!$H$5,0,IF($W31&lt;'Tabelas INSS e IR'!$H$6,($W31*'Tabelas INSS e IR'!$J$5)-'Tabelas INSS e IR'!$K$5,IF($W31&lt;'Tabelas INSS e IR'!$H$7,($W31*'Tabelas INSS e IR'!$J$6)-'Tabelas INSS e IR'!$K$6,IF($W31&lt;'Tabelas INSS e IR'!$H$8,($W31*'Tabelas INSS e IR'!$J$7)-'Tabelas INSS e IR'!$K$7,($W31*'Tabelas INSS e IR'!$J$8)-'Tabelas INSS e IR'!$K$8))))</f>
        <v>0</v>
      </c>
      <c r="AB31" s="294">
        <f t="shared" si="6"/>
        <v>0</v>
      </c>
      <c r="AC31" s="138"/>
      <c r="AD31" s="137"/>
      <c r="AE31" s="139"/>
      <c r="AF31" s="297">
        <f t="shared" si="7"/>
        <v>172.70999999999998</v>
      </c>
      <c r="AG31" s="297">
        <f t="shared" si="8"/>
        <v>1999.29</v>
      </c>
    </row>
    <row r="32" spans="1:34" s="464" customFormat="1" ht="15" customHeight="1" x14ac:dyDescent="0.25">
      <c r="A32" s="103">
        <v>19</v>
      </c>
      <c r="B32" s="403" t="s">
        <v>163</v>
      </c>
      <c r="C32" s="135">
        <v>43313</v>
      </c>
      <c r="D32" s="104" t="s">
        <v>120</v>
      </c>
      <c r="E32" s="103" t="s">
        <v>164</v>
      </c>
      <c r="F32" s="104" t="s">
        <v>63</v>
      </c>
      <c r="G32" s="104" t="s">
        <v>64</v>
      </c>
      <c r="H32" s="136" t="s">
        <v>165</v>
      </c>
      <c r="I32" s="104" t="s">
        <v>166</v>
      </c>
      <c r="J32" s="104" t="s">
        <v>167</v>
      </c>
      <c r="K32" s="104" t="s">
        <v>168</v>
      </c>
      <c r="L32" s="246">
        <v>0.75</v>
      </c>
      <c r="M32" s="132">
        <f t="shared" si="0"/>
        <v>1357.5</v>
      </c>
      <c r="N32" s="408">
        <v>1518</v>
      </c>
      <c r="O32" s="133">
        <f t="shared" si="1"/>
        <v>1357.5</v>
      </c>
      <c r="P32" s="293">
        <f t="shared" si="2"/>
        <v>2875.5</v>
      </c>
      <c r="Q32" s="133">
        <f>IF(OR($G32="EST",$G32="EFE"),0,IF($P32&gt;='Tabelas INSS e IR'!$B$8,'Tabelas INSS e IR'!$D$8,IF($P32&gt;='Tabelas INSS e IR'!$B$7,($P32*'Tabelas INSS e IR'!$D$7)-'Tabelas INSS e IR'!$E$7,IF($P32&gt;='Tabelas INSS e IR'!$B$6,($P32*'Tabelas INSS e IR'!$D$6)-'Tabelas INSS e IR'!$E$6,IF($P32&gt;='Tabelas INSS e IR'!$B$5,($P32*'Tabelas INSS e IR'!$D$5)-'Tabelas INSS e IR'!$E$5,$P32*'Tabelas INSS e IR'!$D$4)))))</f>
        <v>238.47</v>
      </c>
      <c r="R32" s="133">
        <f>IF(OR($G32="EST",$G32="EFE"),0,IF($N32&gt;='Tabelas INSS e IR'!$B$8,'Tabelas INSS e IR'!$D$8,IF($N32&gt;='Tabelas INSS e IR'!$B$7,($N32*'Tabelas INSS e IR'!$D$7)-'Tabelas INSS e IR'!$E$7,IF($N32&gt;='Tabelas INSS e IR'!$B$6,($N32*'Tabelas INSS e IR'!$D$6)-'Tabelas INSS e IR'!$E$6,IF($N32&gt;='Tabelas INSS e IR'!$B$5,($N32*'Tabelas INSS e IR'!$D$5)-'Tabelas INSS e IR'!$E$5,$N32*'Tabelas INSS e IR'!$D$4)))))</f>
        <v>113.84999999999998</v>
      </c>
      <c r="S32" s="132"/>
      <c r="T32" s="294">
        <f>(IF(OR($G32="EST",$G32="EFE"),0,IF((Q32+S32)&gt;'Tabelas INSS e IR'!$D$8,'Tabelas INSS e IR'!$D$8-(S32+R32),(Q32-R32))))</f>
        <v>124.62000000000002</v>
      </c>
      <c r="U32" s="392">
        <f t="shared" si="9"/>
        <v>1404.15</v>
      </c>
      <c r="V32" s="137"/>
      <c r="W32" s="247">
        <f t="shared" si="3"/>
        <v>1404.15</v>
      </c>
      <c r="X32" s="291">
        <f t="shared" si="4"/>
        <v>1232.8799999999999</v>
      </c>
      <c r="Y32" s="133">
        <f t="shared" si="5"/>
        <v>2637.0299999999997</v>
      </c>
      <c r="Z32" s="133">
        <f>IF($Y32&lt;'Tabelas INSS e IR'!$H$5,0,IF($Y32&lt;'Tabelas INSS e IR'!$H$6,($Y32*'Tabelas INSS e IR'!$J$5)-'Tabelas INSS e IR'!$K$5,IF($Y32&lt;'Tabelas INSS e IR'!$H$7,($Y32*'Tabelas INSS e IR'!$J$6)-'Tabelas INSS e IR'!$K$6,IF($Y32&lt;'Tabelas INSS e IR'!$H$8,($Y32*'Tabelas INSS e IR'!$J$7)-'Tabelas INSS e IR'!$K$7,($Y32*'Tabelas INSS e IR'!$J$8)-'Tabelas INSS e IR'!$K$8))))</f>
        <v>15.617249999999927</v>
      </c>
      <c r="AA32" s="133">
        <f>IF($W32&lt;'Tabelas INSS e IR'!$H$5,0,IF($W32&lt;'Tabelas INSS e IR'!$H$6,($W32*'Tabelas INSS e IR'!$J$5)-'Tabelas INSS e IR'!$K$5,IF($W32&lt;'Tabelas INSS e IR'!$H$7,($W32*'Tabelas INSS e IR'!$J$6)-'Tabelas INSS e IR'!$K$6,IF($W32&lt;'Tabelas INSS e IR'!$H$8,($W32*'Tabelas INSS e IR'!$J$7)-'Tabelas INSS e IR'!$K$7,($W32*'Tabelas INSS e IR'!$J$8)-'Tabelas INSS e IR'!$K$8))))</f>
        <v>0</v>
      </c>
      <c r="AB32" s="294">
        <f t="shared" si="6"/>
        <v>15.617249999999927</v>
      </c>
      <c r="AC32" s="138"/>
      <c r="AD32" s="137"/>
      <c r="AE32" s="139"/>
      <c r="AF32" s="297">
        <f t="shared" si="7"/>
        <v>140.23724999999996</v>
      </c>
      <c r="AG32" s="297">
        <f t="shared" si="8"/>
        <v>1217.2627500000001</v>
      </c>
      <c r="AH32" s="464">
        <v>197.17</v>
      </c>
    </row>
    <row r="33" spans="1:34" s="467" customFormat="1" ht="15" customHeight="1" x14ac:dyDescent="0.25">
      <c r="A33" s="103">
        <v>20</v>
      </c>
      <c r="B33" s="403" t="s">
        <v>169</v>
      </c>
      <c r="C33" s="135">
        <v>43382</v>
      </c>
      <c r="D33" s="104" t="s">
        <v>170</v>
      </c>
      <c r="E33" s="104" t="s">
        <v>171</v>
      </c>
      <c r="F33" s="104" t="s">
        <v>63</v>
      </c>
      <c r="G33" s="104" t="s">
        <v>64</v>
      </c>
      <c r="H33" s="136">
        <v>682358</v>
      </c>
      <c r="I33" s="148" t="s">
        <v>172</v>
      </c>
      <c r="J33" s="104" t="s">
        <v>84</v>
      </c>
      <c r="K33" s="104" t="s">
        <v>173</v>
      </c>
      <c r="L33" s="246">
        <v>0.74</v>
      </c>
      <c r="M33" s="132">
        <f t="shared" si="0"/>
        <v>1339.4</v>
      </c>
      <c r="N33" s="408">
        <v>1518</v>
      </c>
      <c r="O33" s="133">
        <f t="shared" si="1"/>
        <v>1339.4</v>
      </c>
      <c r="P33" s="293">
        <f t="shared" si="2"/>
        <v>2857.4</v>
      </c>
      <c r="Q33" s="133">
        <f>IF(OR($G33="EST",$G33="EFE"),0,IF($P33&gt;='Tabelas INSS e IR'!$B$8,'Tabelas INSS e IR'!$D$8,IF($P33&gt;='Tabelas INSS e IR'!$B$7,($P33*'Tabelas INSS e IR'!$D$7)-'Tabelas INSS e IR'!$E$7,IF($P33&gt;='Tabelas INSS e IR'!$B$6,($P33*'Tabelas INSS e IR'!$D$6)-'Tabelas INSS e IR'!$E$6,IF($P33&gt;='Tabelas INSS e IR'!$B$5,($P33*'Tabelas INSS e IR'!$D$5)-'Tabelas INSS e IR'!$E$5,$P33*'Tabelas INSS e IR'!$D$4)))))</f>
        <v>236.29799999999997</v>
      </c>
      <c r="R33" s="133">
        <f>IF(OR($G33="EST",$G33="EFE"),0,IF($N33&gt;='Tabelas INSS e IR'!$B$8,'Tabelas INSS e IR'!$D$8,IF($N33&gt;='Tabelas INSS e IR'!$B$7,($N33*'Tabelas INSS e IR'!$D$7)-'Tabelas INSS e IR'!$E$7,IF($N33&gt;='Tabelas INSS e IR'!$B$6,($N33*'Tabelas INSS e IR'!$D$6)-'Tabelas INSS e IR'!$E$6,IF($N33&gt;='Tabelas INSS e IR'!$B$5,($N33*'Tabelas INSS e IR'!$D$5)-'Tabelas INSS e IR'!$E$5,$N33*'Tabelas INSS e IR'!$D$4)))))</f>
        <v>113.84999999999998</v>
      </c>
      <c r="S33" s="132"/>
      <c r="T33" s="294">
        <f>(IF(OR($G33="EST",$G33="EFE"),0,IF((Q33+S33)&gt;'Tabelas INSS e IR'!$D$8,'Tabelas INSS e IR'!$D$8-(S33+R33),(Q33-R33))))</f>
        <v>122.44799999999999</v>
      </c>
      <c r="U33" s="392">
        <f t="shared" si="9"/>
        <v>1404.15</v>
      </c>
      <c r="V33" s="159"/>
      <c r="W33" s="247">
        <f t="shared" si="3"/>
        <v>1404.15</v>
      </c>
      <c r="X33" s="291">
        <f t="shared" si="4"/>
        <v>1216.952</v>
      </c>
      <c r="Y33" s="133">
        <f t="shared" si="5"/>
        <v>2621.1019999999999</v>
      </c>
      <c r="Z33" s="133">
        <f>IF($Y33&lt;'Tabelas INSS e IR'!$H$5,0,IF($Y33&lt;'Tabelas INSS e IR'!$H$6,($Y33*'Tabelas INSS e IR'!$J$5)-'Tabelas INSS e IR'!$K$5,IF($Y33&lt;'Tabelas INSS e IR'!$H$7,($Y33*'Tabelas INSS e IR'!$J$6)-'Tabelas INSS e IR'!$K$6,IF($Y33&lt;'Tabelas INSS e IR'!$H$8,($Y33*'Tabelas INSS e IR'!$J$7)-'Tabelas INSS e IR'!$K$7,($Y33*'Tabelas INSS e IR'!$J$8)-'Tabelas INSS e IR'!$K$8))))</f>
        <v>14.422649999999948</v>
      </c>
      <c r="AA33" s="133">
        <f>IF($W33&lt;'Tabelas INSS e IR'!$H$5,0,IF($W33&lt;'Tabelas INSS e IR'!$H$6,($W33*'Tabelas INSS e IR'!$J$5)-'Tabelas INSS e IR'!$K$5,IF($W33&lt;'Tabelas INSS e IR'!$H$7,($W33*'Tabelas INSS e IR'!$J$6)-'Tabelas INSS e IR'!$K$6,IF($W33&lt;'Tabelas INSS e IR'!$H$8,($W33*'Tabelas INSS e IR'!$J$7)-'Tabelas INSS e IR'!$K$7,($W33*'Tabelas INSS e IR'!$J$8)-'Tabelas INSS e IR'!$K$8))))</f>
        <v>0</v>
      </c>
      <c r="AB33" s="294">
        <f t="shared" si="6"/>
        <v>14.422649999999948</v>
      </c>
      <c r="AC33" s="160"/>
      <c r="AD33" s="159"/>
      <c r="AE33" s="161"/>
      <c r="AF33" s="297">
        <f t="shared" si="7"/>
        <v>136.87064999999996</v>
      </c>
      <c r="AG33" s="297">
        <f t="shared" si="8"/>
        <v>1202.5293500000002</v>
      </c>
      <c r="AH33" s="466">
        <f>AH32/4</f>
        <v>49.292499999999997</v>
      </c>
    </row>
    <row r="34" spans="1:34" s="468" customFormat="1" ht="15" customHeight="1" x14ac:dyDescent="0.25">
      <c r="A34" s="103">
        <v>21</v>
      </c>
      <c r="B34" s="403" t="s">
        <v>174</v>
      </c>
      <c r="C34" s="135">
        <v>30784</v>
      </c>
      <c r="D34" s="104" t="s">
        <v>175</v>
      </c>
      <c r="E34" s="104" t="s">
        <v>176</v>
      </c>
      <c r="F34" s="104" t="s">
        <v>177</v>
      </c>
      <c r="G34" s="104" t="s">
        <v>178</v>
      </c>
      <c r="H34" s="136">
        <v>746579</v>
      </c>
      <c r="I34" s="110" t="s">
        <v>179</v>
      </c>
      <c r="J34" s="104" t="s">
        <v>117</v>
      </c>
      <c r="K34" s="104" t="s">
        <v>180</v>
      </c>
      <c r="L34" s="246">
        <v>0.41</v>
      </c>
      <c r="M34" s="132">
        <f t="shared" si="0"/>
        <v>742.09999999999991</v>
      </c>
      <c r="N34" s="305"/>
      <c r="O34" s="133">
        <f t="shared" si="1"/>
        <v>742.09999999999991</v>
      </c>
      <c r="P34" s="293">
        <f t="shared" si="2"/>
        <v>742.09999999999991</v>
      </c>
      <c r="Q34" s="133">
        <f>IF(OR($G34="EST",$G34="EFE"),0,IF($P34&gt;='Tabelas INSS e IR'!$B$8,'Tabelas INSS e IR'!$D$8,IF($P34&gt;='Tabelas INSS e IR'!$B$7,($P34*'Tabelas INSS e IR'!$D$7)-'Tabelas INSS e IR'!$E$7,IF($P34&gt;='Tabelas INSS e IR'!$B$6,($P34*'Tabelas INSS e IR'!$D$6)-'Tabelas INSS e IR'!$E$6,IF($P34&gt;='Tabelas INSS e IR'!$B$5,($P34*'Tabelas INSS e IR'!$D$5)-'Tabelas INSS e IR'!$E$5,$P34*'Tabelas INSS e IR'!$D$4)))))</f>
        <v>0</v>
      </c>
      <c r="R34" s="133">
        <f>IF(OR($G34="EST",$G34="EFE"),0,IF($N34&gt;='Tabelas INSS e IR'!$B$8,'Tabelas INSS e IR'!$D$8,IF($N34&gt;='Tabelas INSS e IR'!$B$7,($N34*'Tabelas INSS e IR'!$D$7)-'Tabelas INSS e IR'!$E$7,IF($N34&gt;='Tabelas INSS e IR'!$B$6,($N34*'Tabelas INSS e IR'!$D$6)-'Tabelas INSS e IR'!$E$6,IF($N34&gt;='Tabelas INSS e IR'!$B$5,($N34*'Tabelas INSS e IR'!$D$5)-'Tabelas INSS e IR'!$E$5,$N34*'Tabelas INSS e IR'!$D$4)))))</f>
        <v>0</v>
      </c>
      <c r="S34" s="132"/>
      <c r="T34" s="294">
        <f>(IF(OR($G34="EST",$G34="EFE"),0,IF((Q34+S34)&gt;'Tabelas INSS e IR'!$D$8,'Tabelas INSS e IR'!$D$8-(S34+R34),(Q34-R34))))</f>
        <v>0</v>
      </c>
      <c r="U34" s="478">
        <v>3617.1</v>
      </c>
      <c r="V34" s="137"/>
      <c r="W34" s="247">
        <f t="shared" si="3"/>
        <v>3617.1</v>
      </c>
      <c r="X34" s="291">
        <f t="shared" si="4"/>
        <v>742.09999999999991</v>
      </c>
      <c r="Y34" s="133">
        <f t="shared" si="5"/>
        <v>4359.2</v>
      </c>
      <c r="Z34" s="133">
        <f>IF($Y34&lt;'Tabelas INSS e IR'!$H$5,0,IF($Y34&lt;'Tabelas INSS e IR'!$H$6,($Y34*'Tabelas INSS e IR'!$J$5)-'Tabelas INSS e IR'!$K$5,IF($Y34&lt;'Tabelas INSS e IR'!$H$7,($Y34*'Tabelas INSS e IR'!$J$6)-'Tabelas INSS e IR'!$K$6,IF($Y34&lt;'Tabelas INSS e IR'!$H$8,($Y34*'Tabelas INSS e IR'!$J$7)-'Tabelas INSS e IR'!$K$7,($Y34*'Tabelas INSS e IR'!$J$8)-'Tabelas INSS e IR'!$K$8))))</f>
        <v>305.32999999999993</v>
      </c>
      <c r="AA34" s="133">
        <f>IF($W34&lt;'Tabelas INSS e IR'!$H$5,0,IF($W34&lt;'Tabelas INSS e IR'!$H$6,($W34*'Tabelas INSS e IR'!$J$5)-'Tabelas INSS e IR'!$K$5,IF($W34&lt;'Tabelas INSS e IR'!$H$7,($W34*'Tabelas INSS e IR'!$J$6)-'Tabelas INSS e IR'!$K$6,IF($W34&lt;'Tabelas INSS e IR'!$H$8,($W34*'Tabelas INSS e IR'!$J$7)-'Tabelas INSS e IR'!$K$7,($W34*'Tabelas INSS e IR'!$J$8)-'Tabelas INSS e IR'!$K$8))))</f>
        <v>148.40499999999992</v>
      </c>
      <c r="AB34" s="294">
        <f t="shared" si="6"/>
        <v>156.92500000000001</v>
      </c>
      <c r="AC34" s="138"/>
      <c r="AD34" s="137"/>
      <c r="AE34" s="139"/>
      <c r="AF34" s="297">
        <f t="shared" si="7"/>
        <v>156.92500000000001</v>
      </c>
      <c r="AG34" s="297">
        <f t="shared" si="8"/>
        <v>585.17499999999995</v>
      </c>
    </row>
    <row r="35" spans="1:34" s="468" customFormat="1" ht="15" customHeight="1" x14ac:dyDescent="0.25">
      <c r="A35" s="104">
        <v>22</v>
      </c>
      <c r="B35" s="403" t="s">
        <v>181</v>
      </c>
      <c r="C35" s="135">
        <v>32294</v>
      </c>
      <c r="D35" s="104" t="s">
        <v>61</v>
      </c>
      <c r="E35" s="104" t="s">
        <v>182</v>
      </c>
      <c r="F35" s="104" t="s">
        <v>177</v>
      </c>
      <c r="G35" s="104" t="s">
        <v>178</v>
      </c>
      <c r="H35" s="104">
        <v>762422</v>
      </c>
      <c r="I35" s="104" t="s">
        <v>183</v>
      </c>
      <c r="J35" s="104" t="s">
        <v>140</v>
      </c>
      <c r="K35" s="104" t="s">
        <v>184</v>
      </c>
      <c r="L35" s="246">
        <v>1.1499999999999999</v>
      </c>
      <c r="M35" s="132">
        <f t="shared" si="0"/>
        <v>2081.5</v>
      </c>
      <c r="N35" s="305"/>
      <c r="O35" s="133">
        <f t="shared" si="1"/>
        <v>2081.5</v>
      </c>
      <c r="P35" s="293">
        <f t="shared" si="2"/>
        <v>2081.5</v>
      </c>
      <c r="Q35" s="133">
        <f>IF(OR($G35="EST",$G35="EFE"),0,IF($P35&gt;='Tabelas INSS e IR'!$B$8,'Tabelas INSS e IR'!$D$8,IF($P35&gt;='Tabelas INSS e IR'!$B$7,($P35*'Tabelas INSS e IR'!$D$7)-'Tabelas INSS e IR'!$E$7,IF($P35&gt;='Tabelas INSS e IR'!$B$6,($P35*'Tabelas INSS e IR'!$D$6)-'Tabelas INSS e IR'!$E$6,IF($P35&gt;='Tabelas INSS e IR'!$B$5,($P35*'Tabelas INSS e IR'!$D$5)-'Tabelas INSS e IR'!$E$5,$P35*'Tabelas INSS e IR'!$D$4)))))</f>
        <v>0</v>
      </c>
      <c r="R35" s="133">
        <f>IF(OR($G35="EST",$G35="EFE"),0,IF($N35&gt;='Tabelas INSS e IR'!$B$8,'Tabelas INSS e IR'!$D$8,IF($N35&gt;='Tabelas INSS e IR'!$B$7,($N35*'Tabelas INSS e IR'!$D$7)-'Tabelas INSS e IR'!$E$7,IF($N35&gt;='Tabelas INSS e IR'!$B$6,($N35*'Tabelas INSS e IR'!$D$6)-'Tabelas INSS e IR'!$E$6,IF($N35&gt;='Tabelas INSS e IR'!$B$5,($N35*'Tabelas INSS e IR'!$D$5)-'Tabelas INSS e IR'!$E$5,$N35*'Tabelas INSS e IR'!$D$4)))))</f>
        <v>0</v>
      </c>
      <c r="S35" s="132"/>
      <c r="T35" s="294">
        <f>(IF(OR($G35="EST",$G35="EFE"),0,IF((Q35+S35)&gt;'Tabelas INSS e IR'!$D$8,'Tabelas INSS e IR'!$D$8-(S35+R35),(Q35-R35))))</f>
        <v>0</v>
      </c>
      <c r="U35" s="392">
        <v>3174.22</v>
      </c>
      <c r="V35" s="137"/>
      <c r="W35" s="247">
        <f t="shared" si="3"/>
        <v>3174.22</v>
      </c>
      <c r="X35" s="291">
        <f t="shared" si="4"/>
        <v>2081.5</v>
      </c>
      <c r="Y35" s="133">
        <f t="shared" si="5"/>
        <v>5255.7199999999993</v>
      </c>
      <c r="Z35" s="133">
        <f>IF($Y35&lt;'Tabelas INSS e IR'!$H$5,0,IF($Y35&lt;'Tabelas INSS e IR'!$H$6,($Y35*'Tabelas INSS e IR'!$J$5)-'Tabelas INSS e IR'!$K$5,IF($Y35&lt;'Tabelas INSS e IR'!$H$7,($Y35*'Tabelas INSS e IR'!$J$6)-'Tabelas INSS e IR'!$K$6,IF($Y35&lt;'Tabelas INSS e IR'!$H$8,($Y35*'Tabelas INSS e IR'!$J$7)-'Tabelas INSS e IR'!$K$7,($Y35*'Tabelas INSS e IR'!$J$8)-'Tabelas INSS e IR'!$K$8))))</f>
        <v>536.59299999999985</v>
      </c>
      <c r="AA35" s="133">
        <f>IF($W35&lt;'Tabelas INSS e IR'!$H$5,0,IF($W35&lt;'Tabelas INSS e IR'!$H$6,($W35*'Tabelas INSS e IR'!$J$5)-'Tabelas INSS e IR'!$K$5,IF($W35&lt;'Tabelas INSS e IR'!$H$7,($W35*'Tabelas INSS e IR'!$J$6)-'Tabelas INSS e IR'!$K$6,IF($W35&lt;'Tabelas INSS e IR'!$H$8,($W35*'Tabelas INSS e IR'!$J$7)-'Tabelas INSS e IR'!$K$7,($W35*'Tabelas INSS e IR'!$J$8)-'Tabelas INSS e IR'!$K$8))))</f>
        <v>81.9729999999999</v>
      </c>
      <c r="AB35" s="294">
        <f t="shared" si="6"/>
        <v>454.61999999999995</v>
      </c>
      <c r="AC35" s="138"/>
      <c r="AD35" s="137"/>
      <c r="AE35" s="139"/>
      <c r="AF35" s="297">
        <f t="shared" si="7"/>
        <v>454.61999999999995</v>
      </c>
      <c r="AG35" s="297">
        <f t="shared" si="8"/>
        <v>1626.88</v>
      </c>
    </row>
    <row r="36" spans="1:34" s="468" customFormat="1" ht="15" customHeight="1" x14ac:dyDescent="0.25">
      <c r="A36" s="103">
        <v>23</v>
      </c>
      <c r="B36" s="403" t="s">
        <v>185</v>
      </c>
      <c r="C36" s="135">
        <v>31083</v>
      </c>
      <c r="D36" s="104" t="s">
        <v>186</v>
      </c>
      <c r="E36" s="104" t="s">
        <v>176</v>
      </c>
      <c r="F36" s="104" t="s">
        <v>177</v>
      </c>
      <c r="G36" s="104" t="s">
        <v>178</v>
      </c>
      <c r="H36" s="136" t="s">
        <v>187</v>
      </c>
      <c r="I36" s="110" t="s">
        <v>188</v>
      </c>
      <c r="J36" s="104" t="s">
        <v>157</v>
      </c>
      <c r="K36" s="104" t="s">
        <v>189</v>
      </c>
      <c r="L36" s="246">
        <v>0.45</v>
      </c>
      <c r="M36" s="132">
        <f t="shared" si="0"/>
        <v>814.50000000000011</v>
      </c>
      <c r="N36" s="305"/>
      <c r="O36" s="133">
        <f t="shared" si="1"/>
        <v>814.50000000000011</v>
      </c>
      <c r="P36" s="293">
        <f t="shared" si="2"/>
        <v>814.50000000000011</v>
      </c>
      <c r="Q36" s="133">
        <f>IF(OR($G36="EST",$G36="EFE"),0,IF($P36&gt;='Tabelas INSS e IR'!$B$8,'Tabelas INSS e IR'!$D$8,IF($P36&gt;='Tabelas INSS e IR'!$B$7,($P36*'Tabelas INSS e IR'!$D$7)-'Tabelas INSS e IR'!$E$7,IF($P36&gt;='Tabelas INSS e IR'!$B$6,($P36*'Tabelas INSS e IR'!$D$6)-'Tabelas INSS e IR'!$E$6,IF($P36&gt;='Tabelas INSS e IR'!$B$5,($P36*'Tabelas INSS e IR'!$D$5)-'Tabelas INSS e IR'!$E$5,$P36*'Tabelas INSS e IR'!$D$4)))))</f>
        <v>0</v>
      </c>
      <c r="R36" s="133">
        <f>IF(OR($G36="EST",$G36="EFE"),0,IF($N36&gt;='Tabelas INSS e IR'!$B$8,'Tabelas INSS e IR'!$D$8,IF($N36&gt;='Tabelas INSS e IR'!$B$7,($N36*'Tabelas INSS e IR'!$D$7)-'Tabelas INSS e IR'!$E$7,IF($N36&gt;='Tabelas INSS e IR'!$B$6,($N36*'Tabelas INSS e IR'!$D$6)-'Tabelas INSS e IR'!$E$6,IF($N36&gt;='Tabelas INSS e IR'!$B$5,($N36*'Tabelas INSS e IR'!$D$5)-'Tabelas INSS e IR'!$E$5,$N36*'Tabelas INSS e IR'!$D$4)))))</f>
        <v>0</v>
      </c>
      <c r="S36" s="132"/>
      <c r="T36" s="294">
        <f>(IF(OR($G36="EST",$G36="EFE"),0,IF((Q36+S36)&gt;'Tabelas INSS e IR'!$D$8,'Tabelas INSS e IR'!$D$8-(S36+R36),(Q36-R36))))</f>
        <v>0</v>
      </c>
      <c r="U36" s="392">
        <v>3810.72</v>
      </c>
      <c r="V36" s="137"/>
      <c r="W36" s="247">
        <f t="shared" si="3"/>
        <v>3810.72</v>
      </c>
      <c r="X36" s="291">
        <f t="shared" si="4"/>
        <v>814.50000000000011</v>
      </c>
      <c r="Y36" s="133">
        <f t="shared" si="5"/>
        <v>4625.22</v>
      </c>
      <c r="Z36" s="133">
        <f>IF($Y36&lt;'Tabelas INSS e IR'!$H$5,0,IF($Y36&lt;'Tabelas INSS e IR'!$H$6,($Y36*'Tabelas INSS e IR'!$J$5)-'Tabelas INSS e IR'!$K$5,IF($Y36&lt;'Tabelas INSS e IR'!$H$7,($Y36*'Tabelas INSS e IR'!$J$6)-'Tabelas INSS e IR'!$K$6,IF($Y36&lt;'Tabelas INSS e IR'!$H$8,($Y36*'Tabelas INSS e IR'!$J$7)-'Tabelas INSS e IR'!$K$7,($Y36*'Tabelas INSS e IR'!$J$8)-'Tabelas INSS e IR'!$K$8))))</f>
        <v>365.18450000000007</v>
      </c>
      <c r="AA36" s="133">
        <f>IF($W36&lt;'Tabelas INSS e IR'!$H$5,0,IF($W36&lt;'Tabelas INSS e IR'!$H$6,($W36*'Tabelas INSS e IR'!$J$5)-'Tabelas INSS e IR'!$K$5,IF($W36&lt;'Tabelas INSS e IR'!$H$7,($W36*'Tabelas INSS e IR'!$J$6)-'Tabelas INSS e IR'!$K$6,IF($W36&lt;'Tabelas INSS e IR'!$H$8,($W36*'Tabelas INSS e IR'!$J$7)-'Tabelas INSS e IR'!$K$7,($W36*'Tabelas INSS e IR'!$J$8)-'Tabelas INSS e IR'!$K$8))))</f>
        <v>181.92199999999991</v>
      </c>
      <c r="AB36" s="294">
        <f t="shared" si="6"/>
        <v>183.26250000000016</v>
      </c>
      <c r="AC36" s="138"/>
      <c r="AD36" s="137"/>
      <c r="AE36" s="139"/>
      <c r="AF36" s="297">
        <f t="shared" si="7"/>
        <v>183.26250000000016</v>
      </c>
      <c r="AG36" s="297">
        <f t="shared" si="8"/>
        <v>631.23749999999995</v>
      </c>
    </row>
    <row r="37" spans="1:34" s="468" customFormat="1" ht="15" customHeight="1" x14ac:dyDescent="0.25">
      <c r="A37" s="103">
        <v>24</v>
      </c>
      <c r="B37" s="403" t="s">
        <v>190</v>
      </c>
      <c r="C37" s="135">
        <v>39234</v>
      </c>
      <c r="D37" s="104" t="s">
        <v>191</v>
      </c>
      <c r="E37" s="104" t="s">
        <v>192</v>
      </c>
      <c r="F37" s="104" t="s">
        <v>177</v>
      </c>
      <c r="G37" s="104" t="s">
        <v>178</v>
      </c>
      <c r="H37" s="136">
        <v>395104</v>
      </c>
      <c r="I37" s="148" t="s">
        <v>193</v>
      </c>
      <c r="J37" s="104" t="s">
        <v>117</v>
      </c>
      <c r="K37" s="104" t="s">
        <v>194</v>
      </c>
      <c r="L37" s="246">
        <v>1</v>
      </c>
      <c r="M37" s="132">
        <f t="shared" si="0"/>
        <v>1810</v>
      </c>
      <c r="N37" s="509"/>
      <c r="O37" s="133">
        <f t="shared" si="1"/>
        <v>1810</v>
      </c>
      <c r="P37" s="293">
        <f t="shared" si="2"/>
        <v>1810</v>
      </c>
      <c r="Q37" s="133">
        <f>IF(OR($G37="EST",$G37="EFE"),0,IF($P37&gt;='Tabelas INSS e IR'!$B$8,'Tabelas INSS e IR'!$D$8,IF($P37&gt;='Tabelas INSS e IR'!$B$7,($P37*'Tabelas INSS e IR'!$D$7)-'Tabelas INSS e IR'!$E$7,IF($P37&gt;='Tabelas INSS e IR'!$B$6,($P37*'Tabelas INSS e IR'!$D$6)-'Tabelas INSS e IR'!$E$6,IF($P37&gt;='Tabelas INSS e IR'!$B$5,($P37*'Tabelas INSS e IR'!$D$5)-'Tabelas INSS e IR'!$E$5,$P37*'Tabelas INSS e IR'!$D$4)))))</f>
        <v>0</v>
      </c>
      <c r="R37" s="133">
        <f>IF(OR($G37="EST",$G37="EFE"),0,IF($N37&gt;='Tabelas INSS e IR'!$B$8,'Tabelas INSS e IR'!$D$8,IF($N37&gt;='Tabelas INSS e IR'!$B$7,($N37*'Tabelas INSS e IR'!$D$7)-'Tabelas INSS e IR'!$E$7,IF($N37&gt;='Tabelas INSS e IR'!$B$6,($N37*'Tabelas INSS e IR'!$D$6)-'Tabelas INSS e IR'!$E$6,IF($N37&gt;='Tabelas INSS e IR'!$B$5,($N37*'Tabelas INSS e IR'!$D$5)-'Tabelas INSS e IR'!$E$5,$N37*'Tabelas INSS e IR'!$D$4)))))</f>
        <v>0</v>
      </c>
      <c r="S37" s="132"/>
      <c r="T37" s="294">
        <f>(IF(OR($G37="EST",$G37="EFE"),0,IF((Q37+S37)&gt;'Tabelas INSS e IR'!$D$8,'Tabelas INSS e IR'!$D$8-(S37+R37),(Q37-R37))))</f>
        <v>0</v>
      </c>
      <c r="U37" s="392">
        <v>1136.92</v>
      </c>
      <c r="V37" s="137"/>
      <c r="W37" s="247">
        <f t="shared" si="3"/>
        <v>1136.92</v>
      </c>
      <c r="X37" s="291">
        <f t="shared" si="4"/>
        <v>1810</v>
      </c>
      <c r="Y37" s="133">
        <f t="shared" si="5"/>
        <v>2946.92</v>
      </c>
      <c r="Z37" s="133">
        <f>IF($Y37&lt;'Tabelas INSS e IR'!$H$5,0,IF($Y37&lt;'Tabelas INSS e IR'!$H$6,($Y37*'Tabelas INSS e IR'!$J$5)-'Tabelas INSS e IR'!$K$5,IF($Y37&lt;'Tabelas INSS e IR'!$H$7,($Y37*'Tabelas INSS e IR'!$J$6)-'Tabelas INSS e IR'!$K$6,IF($Y37&lt;'Tabelas INSS e IR'!$H$8,($Y37*'Tabelas INSS e IR'!$J$7)-'Tabelas INSS e IR'!$K$7,($Y37*'Tabelas INSS e IR'!$J$8)-'Tabelas INSS e IR'!$K$8))))</f>
        <v>47.877999999999986</v>
      </c>
      <c r="AA37" s="133">
        <f>IF($W37&lt;'Tabelas INSS e IR'!$H$5,0,IF($W37&lt;'Tabelas INSS e IR'!$H$6,($W37*'Tabelas INSS e IR'!$J$5)-'Tabelas INSS e IR'!$K$5,IF($W37&lt;'Tabelas INSS e IR'!$H$7,($W37*'Tabelas INSS e IR'!$J$6)-'Tabelas INSS e IR'!$K$6,IF($W37&lt;'Tabelas INSS e IR'!$H$8,($W37*'Tabelas INSS e IR'!$J$7)-'Tabelas INSS e IR'!$K$7,($W37*'Tabelas INSS e IR'!$J$8)-'Tabelas INSS e IR'!$K$8))))</f>
        <v>0</v>
      </c>
      <c r="AB37" s="294">
        <f t="shared" si="6"/>
        <v>47.877999999999986</v>
      </c>
      <c r="AC37" s="138"/>
      <c r="AD37" s="137"/>
      <c r="AE37" s="139"/>
      <c r="AF37" s="297">
        <f t="shared" si="7"/>
        <v>47.877999999999986</v>
      </c>
      <c r="AG37" s="297">
        <f t="shared" si="8"/>
        <v>1762.1220000000001</v>
      </c>
    </row>
    <row r="38" spans="1:34" s="468" customFormat="1" ht="15" customHeight="1" x14ac:dyDescent="0.25">
      <c r="A38" s="103">
        <v>25</v>
      </c>
      <c r="B38" s="403" t="s">
        <v>195</v>
      </c>
      <c r="C38" s="135">
        <v>31546</v>
      </c>
      <c r="D38" s="104" t="s">
        <v>186</v>
      </c>
      <c r="E38" s="104" t="s">
        <v>196</v>
      </c>
      <c r="F38" s="104" t="s">
        <v>177</v>
      </c>
      <c r="G38" s="104" t="s">
        <v>178</v>
      </c>
      <c r="H38" s="136">
        <v>305324</v>
      </c>
      <c r="I38" s="148" t="s">
        <v>197</v>
      </c>
      <c r="J38" s="104" t="s">
        <v>84</v>
      </c>
      <c r="K38" s="104" t="s">
        <v>198</v>
      </c>
      <c r="L38" s="246">
        <v>2.2999999999999998</v>
      </c>
      <c r="M38" s="132">
        <f t="shared" si="0"/>
        <v>4163</v>
      </c>
      <c r="N38" s="134"/>
      <c r="O38" s="133">
        <f t="shared" si="1"/>
        <v>4163</v>
      </c>
      <c r="P38" s="293">
        <f t="shared" si="2"/>
        <v>4163</v>
      </c>
      <c r="Q38" s="133">
        <f>IF(OR($G38="EST",$G38="EFE"),0,IF($P38&gt;='Tabelas INSS e IR'!$B$8,'Tabelas INSS e IR'!$D$8,IF($P38&gt;='Tabelas INSS e IR'!$B$7,($P38*'Tabelas INSS e IR'!$D$7)-'Tabelas INSS e IR'!$E$7,IF($P38&gt;='Tabelas INSS e IR'!$B$6,($P38*'Tabelas INSS e IR'!$D$6)-'Tabelas INSS e IR'!$E$6,IF($P38&gt;='Tabelas INSS e IR'!$B$5,($P38*'Tabelas INSS e IR'!$D$5)-'Tabelas INSS e IR'!$E$5,$P38*'Tabelas INSS e IR'!$D$4)))))</f>
        <v>0</v>
      </c>
      <c r="R38" s="133">
        <f>IF(OR($G38="EST",$G38="EFE"),0,IF($N38&gt;='Tabelas INSS e IR'!$B$8,'Tabelas INSS e IR'!$D$8,IF($N38&gt;='Tabelas INSS e IR'!$B$7,($N38*'Tabelas INSS e IR'!$D$7)-'Tabelas INSS e IR'!$E$7,IF($N38&gt;='Tabelas INSS e IR'!$B$6,($N38*'Tabelas INSS e IR'!$D$6)-'Tabelas INSS e IR'!$E$6,IF($N38&gt;='Tabelas INSS e IR'!$B$5,($N38*'Tabelas INSS e IR'!$D$5)-'Tabelas INSS e IR'!$E$5,$N38*'Tabelas INSS e IR'!$D$4)))))</f>
        <v>0</v>
      </c>
      <c r="S38" s="132"/>
      <c r="T38" s="294">
        <f>(IF(OR($G38="EST",$G38="EFE"),0,IF((Q38+S38)&gt;'Tabelas INSS e IR'!$D$8,'Tabelas INSS e IR'!$D$8-(S38+R38),(Q38-R38))))</f>
        <v>0</v>
      </c>
      <c r="U38" s="392">
        <v>17118.599999999999</v>
      </c>
      <c r="V38" s="137"/>
      <c r="W38" s="247">
        <f t="shared" si="3"/>
        <v>17118.599999999999</v>
      </c>
      <c r="X38" s="291">
        <f t="shared" si="4"/>
        <v>4163</v>
      </c>
      <c r="Y38" s="133">
        <f t="shared" si="5"/>
        <v>21281.599999999999</v>
      </c>
      <c r="Z38" s="133">
        <f>IF($Y38&lt;'Tabelas INSS e IR'!$H$5,0,IF($Y38&lt;'Tabelas INSS e IR'!$H$6,($Y38*'Tabelas INSS e IR'!$J$5)-'Tabelas INSS e IR'!$K$5,IF($Y38&lt;'Tabelas INSS e IR'!$H$7,($Y38*'Tabelas INSS e IR'!$J$6)-'Tabelas INSS e IR'!$K$6,IF($Y38&lt;'Tabelas INSS e IR'!$H$8,($Y38*'Tabelas INSS e IR'!$J$7)-'Tabelas INSS e IR'!$K$7,($Y38*'Tabelas INSS e IR'!$J$8)-'Tabelas INSS e IR'!$K$8))))</f>
        <v>4943.7100000000009</v>
      </c>
      <c r="AA38" s="133">
        <f>IF($W38&lt;'Tabelas INSS e IR'!$H$5,0,IF($W38&lt;'Tabelas INSS e IR'!$H$6,($W38*'Tabelas INSS e IR'!$J$5)-'Tabelas INSS e IR'!$K$5,IF($W38&lt;'Tabelas INSS e IR'!$H$7,($W38*'Tabelas INSS e IR'!$J$6)-'Tabelas INSS e IR'!$K$6,IF($W38&lt;'Tabelas INSS e IR'!$H$8,($W38*'Tabelas INSS e IR'!$J$7)-'Tabelas INSS e IR'!$K$7,($W38*'Tabelas INSS e IR'!$J$8)-'Tabelas INSS e IR'!$K$8))))</f>
        <v>3798.8849999999998</v>
      </c>
      <c r="AB38" s="294">
        <f t="shared" si="6"/>
        <v>1144.8250000000012</v>
      </c>
      <c r="AC38" s="138"/>
      <c r="AD38" s="137"/>
      <c r="AE38" s="139"/>
      <c r="AF38" s="297">
        <f t="shared" si="7"/>
        <v>1144.8250000000012</v>
      </c>
      <c r="AG38" s="297">
        <f t="shared" si="8"/>
        <v>3018.1749999999988</v>
      </c>
    </row>
    <row r="39" spans="1:34" s="468" customFormat="1" ht="15" customHeight="1" x14ac:dyDescent="0.25">
      <c r="A39" s="104">
        <v>26</v>
      </c>
      <c r="B39" s="403" t="s">
        <v>199</v>
      </c>
      <c r="C39" s="135" t="s">
        <v>200</v>
      </c>
      <c r="D39" s="104" t="s">
        <v>113</v>
      </c>
      <c r="E39" s="104" t="s">
        <v>201</v>
      </c>
      <c r="F39" s="104" t="s">
        <v>177</v>
      </c>
      <c r="G39" s="104" t="s">
        <v>178</v>
      </c>
      <c r="H39" s="136">
        <v>537885</v>
      </c>
      <c r="I39" s="148" t="s">
        <v>202</v>
      </c>
      <c r="J39" s="104" t="s">
        <v>203</v>
      </c>
      <c r="K39" s="104" t="s">
        <v>204</v>
      </c>
      <c r="L39" s="246">
        <v>0.41</v>
      </c>
      <c r="M39" s="132">
        <f t="shared" si="0"/>
        <v>742.09999999999991</v>
      </c>
      <c r="N39" s="134"/>
      <c r="O39" s="133">
        <f t="shared" si="1"/>
        <v>742.09999999999991</v>
      </c>
      <c r="P39" s="293">
        <f t="shared" si="2"/>
        <v>742.09999999999991</v>
      </c>
      <c r="Q39" s="133">
        <f>IF(OR($G39="EST",$G39="EFE"),0,IF($P39&gt;='Tabelas INSS e IR'!$B$8,'Tabelas INSS e IR'!$D$8,IF($P39&gt;='Tabelas INSS e IR'!$B$7,($P39*'Tabelas INSS e IR'!$D$7)-'Tabelas INSS e IR'!$E$7,IF($P39&gt;='Tabelas INSS e IR'!$B$6,($P39*'Tabelas INSS e IR'!$D$6)-'Tabelas INSS e IR'!$E$6,IF($P39&gt;='Tabelas INSS e IR'!$B$5,($P39*'Tabelas INSS e IR'!$D$5)-'Tabelas INSS e IR'!$E$5,$P39*'Tabelas INSS e IR'!$D$4)))))</f>
        <v>0</v>
      </c>
      <c r="R39" s="133">
        <f>IF(OR($G39="EST",$G39="EFE"),0,IF($N39&gt;='Tabelas INSS e IR'!$B$8,'Tabelas INSS e IR'!$D$8,IF($N39&gt;='Tabelas INSS e IR'!$B$7,($N39*'Tabelas INSS e IR'!$D$7)-'Tabelas INSS e IR'!$E$7,IF($N39&gt;='Tabelas INSS e IR'!$B$6,($N39*'Tabelas INSS e IR'!$D$6)-'Tabelas INSS e IR'!$E$6,IF($N39&gt;='Tabelas INSS e IR'!$B$5,($N39*'Tabelas INSS e IR'!$D$5)-'Tabelas INSS e IR'!$E$5,$N39*'Tabelas INSS e IR'!$D$4)))))</f>
        <v>0</v>
      </c>
      <c r="S39" s="132"/>
      <c r="T39" s="294">
        <f>(IF(OR($G39="EST",$G39="EFE"),0,IF((Q39+S39)&gt;'Tabelas INSS e IR'!$D$8,'Tabelas INSS e IR'!$D$8-(S39+R39),(Q39-R39))))</f>
        <v>0</v>
      </c>
      <c r="U39" s="392">
        <v>3858.39</v>
      </c>
      <c r="V39" s="137"/>
      <c r="W39" s="247">
        <f t="shared" si="3"/>
        <v>3858.39</v>
      </c>
      <c r="X39" s="291">
        <f t="shared" si="4"/>
        <v>742.09999999999991</v>
      </c>
      <c r="Y39" s="133">
        <f t="shared" si="5"/>
        <v>4600.49</v>
      </c>
      <c r="Z39" s="133">
        <f>IF($Y39&lt;'Tabelas INSS e IR'!$H$5,0,IF($Y39&lt;'Tabelas INSS e IR'!$H$6,($Y39*'Tabelas INSS e IR'!$J$5)-'Tabelas INSS e IR'!$K$5,IF($Y39&lt;'Tabelas INSS e IR'!$H$7,($Y39*'Tabelas INSS e IR'!$J$6)-'Tabelas INSS e IR'!$K$6,IF($Y39&lt;'Tabelas INSS e IR'!$H$8,($Y39*'Tabelas INSS e IR'!$J$7)-'Tabelas INSS e IR'!$K$7,($Y39*'Tabelas INSS e IR'!$J$8)-'Tabelas INSS e IR'!$K$8))))</f>
        <v>359.62024999999994</v>
      </c>
      <c r="AA39" s="133">
        <f>IF($W39&lt;'Tabelas INSS e IR'!$H$5,0,IF($W39&lt;'Tabelas INSS e IR'!$H$6,($W39*'Tabelas INSS e IR'!$J$5)-'Tabelas INSS e IR'!$K$5,IF($W39&lt;'Tabelas INSS e IR'!$H$7,($W39*'Tabelas INSS e IR'!$J$6)-'Tabelas INSS e IR'!$K$6,IF($W39&lt;'Tabelas INSS e IR'!$H$8,($W39*'Tabelas INSS e IR'!$J$7)-'Tabelas INSS e IR'!$K$7,($W39*'Tabelas INSS e IR'!$J$8)-'Tabelas INSS e IR'!$K$8))))</f>
        <v>192.64774999999997</v>
      </c>
      <c r="AB39" s="294">
        <f t="shared" si="6"/>
        <v>166.97249999999997</v>
      </c>
      <c r="AC39" s="138"/>
      <c r="AD39" s="137"/>
      <c r="AE39" s="139"/>
      <c r="AF39" s="297">
        <f t="shared" si="7"/>
        <v>166.97249999999997</v>
      </c>
      <c r="AG39" s="297">
        <f t="shared" si="8"/>
        <v>575.12749999999994</v>
      </c>
    </row>
    <row r="40" spans="1:34" s="468" customFormat="1" ht="15" customHeight="1" x14ac:dyDescent="0.25">
      <c r="A40" s="103">
        <v>27</v>
      </c>
      <c r="B40" s="535" t="s">
        <v>572</v>
      </c>
      <c r="C40" s="511"/>
      <c r="D40" s="512"/>
      <c r="E40" s="512"/>
      <c r="F40" s="538" t="s">
        <v>63</v>
      </c>
      <c r="G40" s="538" t="s">
        <v>64</v>
      </c>
      <c r="H40" s="537" t="s">
        <v>573</v>
      </c>
      <c r="I40" s="539" t="s">
        <v>574</v>
      </c>
      <c r="J40" s="512" t="s">
        <v>575</v>
      </c>
      <c r="K40" s="512" t="s">
        <v>576</v>
      </c>
      <c r="L40" s="246">
        <v>0.41</v>
      </c>
      <c r="M40" s="132">
        <f t="shared" si="0"/>
        <v>742.09999999999991</v>
      </c>
      <c r="N40" s="513"/>
      <c r="O40" s="133">
        <f t="shared" si="1"/>
        <v>742.09999999999991</v>
      </c>
      <c r="P40" s="293">
        <f t="shared" si="2"/>
        <v>742.09999999999991</v>
      </c>
      <c r="Q40" s="133">
        <f>IF(OR($G40="EST",$G40="EFE"),0,IF($P40&gt;='Tabelas INSS e IR'!$B$8,'Tabelas INSS e IR'!$D$8,IF($P40&gt;='Tabelas INSS e IR'!$B$7,($P40*'Tabelas INSS e IR'!$D$7)-'Tabelas INSS e IR'!$E$7,IF($P40&gt;='Tabelas INSS e IR'!$B$6,($P40*'Tabelas INSS e IR'!$D$6)-'Tabelas INSS e IR'!$E$6,IF($P40&gt;='Tabelas INSS e IR'!$B$5,($P40*'Tabelas INSS e IR'!$D$5)-'Tabelas INSS e IR'!$E$5,$P40*'Tabelas INSS e IR'!$D$4)))))</f>
        <v>55.657499999999978</v>
      </c>
      <c r="R40" s="133">
        <f>IF(OR($G40="EST",$G40="EFE"),0,IF($N40&gt;='Tabelas INSS e IR'!$B$8,'Tabelas INSS e IR'!$D$8,IF($N40&gt;='Tabelas INSS e IR'!$B$7,($N40*'Tabelas INSS e IR'!$D$7)-'Tabelas INSS e IR'!$E$7,IF($N40&gt;='Tabelas INSS e IR'!$B$6,($N40*'Tabelas INSS e IR'!$D$6)-'Tabelas INSS e IR'!$E$6,IF($N40&gt;='Tabelas INSS e IR'!$B$5,($N40*'Tabelas INSS e IR'!$D$5)-'Tabelas INSS e IR'!$E$5,$N40*'Tabelas INSS e IR'!$D$4)))))</f>
        <v>0</v>
      </c>
      <c r="S40" s="132"/>
      <c r="T40" s="294">
        <f>(IF(OR($G40="EST",$G40="EFE"),0,IF((Q40+S40)&gt;'Tabelas INSS e IR'!$D$8,'Tabelas INSS e IR'!$D$8-(S40+R40),(Q40-R40))))</f>
        <v>55.657499999999978</v>
      </c>
      <c r="U40" s="510">
        <v>0</v>
      </c>
      <c r="V40" s="137"/>
      <c r="W40" s="247">
        <f t="shared" si="3"/>
        <v>0</v>
      </c>
      <c r="X40" s="291">
        <f t="shared" si="4"/>
        <v>686.44249999999988</v>
      </c>
      <c r="Y40" s="133">
        <f t="shared" si="5"/>
        <v>686.44249999999988</v>
      </c>
      <c r="Z40" s="133">
        <f>IF($Y40&lt;'Tabelas INSS e IR'!$H$5,0,IF($Y40&lt;'Tabelas INSS e IR'!$H$6,($Y40*'Tabelas INSS e IR'!$J$5)-'Tabelas INSS e IR'!$K$5,IF($Y40&lt;'Tabelas INSS e IR'!$H$7,($Y40*'Tabelas INSS e IR'!$J$6)-'Tabelas INSS e IR'!$K$6,IF($Y40&lt;'Tabelas INSS e IR'!$H$8,($Y40*'Tabelas INSS e IR'!$J$7)-'Tabelas INSS e IR'!$K$7,($Y40*'Tabelas INSS e IR'!$J$8)-'Tabelas INSS e IR'!$K$8))))</f>
        <v>0</v>
      </c>
      <c r="AA40" s="133">
        <f>IF($W40&lt;'Tabelas INSS e IR'!$H$5,0,IF($W40&lt;'Tabelas INSS e IR'!$H$6,($W40*'Tabelas INSS e IR'!$J$5)-'Tabelas INSS e IR'!$K$5,IF($W40&lt;'Tabelas INSS e IR'!$H$7,($W40*'Tabelas INSS e IR'!$J$6)-'Tabelas INSS e IR'!$K$6,IF($W40&lt;'Tabelas INSS e IR'!$H$8,($W40*'Tabelas INSS e IR'!$J$7)-'Tabelas INSS e IR'!$K$7,($W40*'Tabelas INSS e IR'!$J$8)-'Tabelas INSS e IR'!$K$8))))</f>
        <v>0</v>
      </c>
      <c r="AB40" s="294">
        <f t="shared" si="6"/>
        <v>0</v>
      </c>
      <c r="AC40" s="138"/>
      <c r="AD40" s="137"/>
      <c r="AE40" s="139"/>
      <c r="AF40" s="297">
        <f t="shared" si="7"/>
        <v>55.657499999999978</v>
      </c>
      <c r="AG40" s="297">
        <f t="shared" si="8"/>
        <v>686.44249999999988</v>
      </c>
    </row>
    <row r="41" spans="1:34" s="468" customFormat="1" ht="15" customHeight="1" x14ac:dyDescent="0.25">
      <c r="A41" s="103">
        <v>28</v>
      </c>
      <c r="B41" s="403" t="s">
        <v>207</v>
      </c>
      <c r="C41" s="135">
        <v>39552</v>
      </c>
      <c r="D41" s="104" t="s">
        <v>127</v>
      </c>
      <c r="E41" s="104" t="s">
        <v>208</v>
      </c>
      <c r="F41" s="104" t="s">
        <v>177</v>
      </c>
      <c r="G41" s="104" t="s">
        <v>178</v>
      </c>
      <c r="H41" s="104" t="s">
        <v>209</v>
      </c>
      <c r="I41" s="148" t="s">
        <v>210</v>
      </c>
      <c r="J41" s="104" t="s">
        <v>157</v>
      </c>
      <c r="K41" s="104" t="s">
        <v>211</v>
      </c>
      <c r="L41" s="246">
        <v>1.6</v>
      </c>
      <c r="M41" s="132">
        <f t="shared" si="0"/>
        <v>2896</v>
      </c>
      <c r="N41" s="134"/>
      <c r="O41" s="133">
        <f t="shared" si="1"/>
        <v>2896</v>
      </c>
      <c r="P41" s="293">
        <f t="shared" si="2"/>
        <v>2896</v>
      </c>
      <c r="Q41" s="133">
        <f>IF(OR($G41="EST",$G41="EFE"),0,IF($P41&gt;='Tabelas INSS e IR'!$B$8,'Tabelas INSS e IR'!$D$8,IF($P41&gt;='Tabelas INSS e IR'!$B$7,($P41*'Tabelas INSS e IR'!$D$7)-'Tabelas INSS e IR'!$E$7,IF($P41&gt;='Tabelas INSS e IR'!$B$6,($P41*'Tabelas INSS e IR'!$D$6)-'Tabelas INSS e IR'!$E$6,IF($P41&gt;='Tabelas INSS e IR'!$B$5,($P41*'Tabelas INSS e IR'!$D$5)-'Tabelas INSS e IR'!$E$5,$P41*'Tabelas INSS e IR'!$D$4)))))</f>
        <v>0</v>
      </c>
      <c r="R41" s="133">
        <f>IF(OR($G41="EST",$G41="EFE"),0,IF($N41&gt;='Tabelas INSS e IR'!$B$8,'Tabelas INSS e IR'!$D$8,IF($N41&gt;='Tabelas INSS e IR'!$B$7,($N41*'Tabelas INSS e IR'!$D$7)-'Tabelas INSS e IR'!$E$7,IF($N41&gt;='Tabelas INSS e IR'!$B$6,($N41*'Tabelas INSS e IR'!$D$6)-'Tabelas INSS e IR'!$E$6,IF($N41&gt;='Tabelas INSS e IR'!$B$5,($N41*'Tabelas INSS e IR'!$D$5)-'Tabelas INSS e IR'!$E$5,$N41*'Tabelas INSS e IR'!$D$4)))))</f>
        <v>0</v>
      </c>
      <c r="S41" s="132"/>
      <c r="T41" s="294">
        <f>(IF(OR($G41="EST",$G41="EFE"),0,IF((Q41+S41)&gt;'Tabelas INSS e IR'!$D$8,'Tabelas INSS e IR'!$D$8-(S41+R41),(Q41-R41))))</f>
        <v>0</v>
      </c>
      <c r="U41" s="392">
        <v>4791.1099999999997</v>
      </c>
      <c r="V41" s="137"/>
      <c r="W41" s="247">
        <f t="shared" si="3"/>
        <v>4791.1099999999997</v>
      </c>
      <c r="X41" s="291">
        <f t="shared" si="4"/>
        <v>2896</v>
      </c>
      <c r="Y41" s="133">
        <f t="shared" si="5"/>
        <v>7687.11</v>
      </c>
      <c r="Z41" s="133">
        <f>IF($Y41&lt;'Tabelas INSS e IR'!$H$5,0,IF($Y41&lt;'Tabelas INSS e IR'!$H$6,($Y41*'Tabelas INSS e IR'!$J$5)-'Tabelas INSS e IR'!$K$5,IF($Y41&lt;'Tabelas INSS e IR'!$H$7,($Y41*'Tabelas INSS e IR'!$J$6)-'Tabelas INSS e IR'!$K$6,IF($Y41&lt;'Tabelas INSS e IR'!$H$8,($Y41*'Tabelas INSS e IR'!$J$7)-'Tabelas INSS e IR'!$K$7,($Y41*'Tabelas INSS e IR'!$J$8)-'Tabelas INSS e IR'!$K$8))))</f>
        <v>1205.22525</v>
      </c>
      <c r="AA41" s="133">
        <f>IF($W41&lt;'Tabelas INSS e IR'!$H$5,0,IF($W41&lt;'Tabelas INSS e IR'!$H$6,($W41*'Tabelas INSS e IR'!$J$5)-'Tabelas INSS e IR'!$K$5,IF($W41&lt;'Tabelas INSS e IR'!$H$7,($W41*'Tabelas INSS e IR'!$J$6)-'Tabelas INSS e IR'!$K$6,IF($W41&lt;'Tabelas INSS e IR'!$H$8,($W41*'Tabelas INSS e IR'!$J$7)-'Tabelas INSS e IR'!$K$7,($W41*'Tabelas INSS e IR'!$J$8)-'Tabelas INSS e IR'!$K$8))))</f>
        <v>408.8252500000001</v>
      </c>
      <c r="AB41" s="294">
        <f t="shared" si="6"/>
        <v>796.39999999999986</v>
      </c>
      <c r="AC41" s="138"/>
      <c r="AD41" s="137"/>
      <c r="AE41" s="139"/>
      <c r="AF41" s="297">
        <f t="shared" si="7"/>
        <v>796.39999999999986</v>
      </c>
      <c r="AG41" s="297">
        <f t="shared" si="8"/>
        <v>2099.6000000000004</v>
      </c>
    </row>
    <row r="42" spans="1:34" s="468" customFormat="1" ht="15" customHeight="1" x14ac:dyDescent="0.25">
      <c r="A42" s="103">
        <v>29</v>
      </c>
      <c r="B42" s="403" t="s">
        <v>556</v>
      </c>
      <c r="C42" s="135"/>
      <c r="D42" s="104" t="s">
        <v>120</v>
      </c>
      <c r="E42" s="104" t="s">
        <v>219</v>
      </c>
      <c r="F42" s="104" t="s">
        <v>177</v>
      </c>
      <c r="G42" s="104" t="s">
        <v>64</v>
      </c>
      <c r="H42" s="136">
        <v>32724411</v>
      </c>
      <c r="I42" s="148" t="s">
        <v>559</v>
      </c>
      <c r="J42" s="104" t="s">
        <v>557</v>
      </c>
      <c r="K42" s="104" t="s">
        <v>558</v>
      </c>
      <c r="L42" s="246">
        <v>0.41</v>
      </c>
      <c r="M42" s="132">
        <f t="shared" si="0"/>
        <v>742.09999999999991</v>
      </c>
      <c r="N42" s="502"/>
      <c r="O42" s="133">
        <f t="shared" si="1"/>
        <v>742.09999999999991</v>
      </c>
      <c r="P42" s="293">
        <f t="shared" si="2"/>
        <v>742.09999999999991</v>
      </c>
      <c r="Q42" s="133">
        <f>IF(OR($G42="EST",$G42="EFE"),0,IF($P42&gt;='Tabelas INSS e IR'!$B$8,'Tabelas INSS e IR'!$D$8,IF($P42&gt;='Tabelas INSS e IR'!$B$7,($P42*'Tabelas INSS e IR'!$D$7)-'Tabelas INSS e IR'!$E$7,IF($P42&gt;='Tabelas INSS e IR'!$B$6,($P42*'Tabelas INSS e IR'!$D$6)-'Tabelas INSS e IR'!$E$6,IF($P42&gt;='Tabelas INSS e IR'!$B$5,($P42*'Tabelas INSS e IR'!$D$5)-'Tabelas INSS e IR'!$E$5,$P42*'Tabelas INSS e IR'!$D$4)))))</f>
        <v>55.657499999999978</v>
      </c>
      <c r="R42" s="133">
        <f>IF(OR($G42="EST",$G42="EFE"),0,IF($N42&gt;='Tabelas INSS e IR'!$B$8,'Tabelas INSS e IR'!$D$8,IF($N42&gt;='Tabelas INSS e IR'!$B$7,($N42*'Tabelas INSS e IR'!$D$7)-'Tabelas INSS e IR'!$E$7,IF($N42&gt;='Tabelas INSS e IR'!$B$6,($N42*'Tabelas INSS e IR'!$D$6)-'Tabelas INSS e IR'!$E$6,IF($N42&gt;='Tabelas INSS e IR'!$B$5,($N42*'Tabelas INSS e IR'!$D$5)-'Tabelas INSS e IR'!$E$5,$N42*'Tabelas INSS e IR'!$D$4)))))</f>
        <v>0</v>
      </c>
      <c r="S42" s="132"/>
      <c r="T42" s="294">
        <f>(IF(OR($G42="EST",$G42="EFE"),0,IF((Q42+S42)&gt;'Tabelas INSS e IR'!$D$8,'Tabelas INSS e IR'!$D$8-(S42+R42),(Q42-R42))))</f>
        <v>55.657499999999978</v>
      </c>
      <c r="U42" s="392">
        <f t="shared" si="9"/>
        <v>0</v>
      </c>
      <c r="V42" s="137"/>
      <c r="W42" s="247">
        <f t="shared" si="3"/>
        <v>0</v>
      </c>
      <c r="X42" s="291">
        <f t="shared" si="4"/>
        <v>686.44249999999988</v>
      </c>
      <c r="Y42" s="133">
        <f t="shared" si="5"/>
        <v>686.44249999999988</v>
      </c>
      <c r="Z42" s="133">
        <f>IF($Y42&lt;'Tabelas INSS e IR'!$H$5,0,IF($Y42&lt;'Tabelas INSS e IR'!$H$6,($Y42*'Tabelas INSS e IR'!$J$5)-'Tabelas INSS e IR'!$K$5,IF($Y42&lt;'Tabelas INSS e IR'!$H$7,($Y42*'Tabelas INSS e IR'!$J$6)-'Tabelas INSS e IR'!$K$6,IF($Y42&lt;'Tabelas INSS e IR'!$H$8,($Y42*'Tabelas INSS e IR'!$J$7)-'Tabelas INSS e IR'!$K$7,($Y42*'Tabelas INSS e IR'!$J$8)-'Tabelas INSS e IR'!$K$8))))</f>
        <v>0</v>
      </c>
      <c r="AA42" s="133">
        <f>IF($W42&lt;'Tabelas INSS e IR'!$H$5,0,IF($W42&lt;'Tabelas INSS e IR'!$H$6,($W42*'Tabelas INSS e IR'!$J$5)-'Tabelas INSS e IR'!$K$5,IF($W42&lt;'Tabelas INSS e IR'!$H$7,($W42*'Tabelas INSS e IR'!$J$6)-'Tabelas INSS e IR'!$K$6,IF($W42&lt;'Tabelas INSS e IR'!$H$8,($W42*'Tabelas INSS e IR'!$J$7)-'Tabelas INSS e IR'!$K$7,($W42*'Tabelas INSS e IR'!$J$8)-'Tabelas INSS e IR'!$K$8))))</f>
        <v>0</v>
      </c>
      <c r="AB42" s="294">
        <f t="shared" si="6"/>
        <v>0</v>
      </c>
      <c r="AC42" s="138"/>
      <c r="AD42" s="137"/>
      <c r="AE42" s="139"/>
      <c r="AF42" s="297">
        <f t="shared" si="7"/>
        <v>55.657499999999978</v>
      </c>
      <c r="AG42" s="297">
        <f t="shared" si="8"/>
        <v>686.44249999999988</v>
      </c>
    </row>
    <row r="43" spans="1:34" s="460" customFormat="1" ht="15" customHeight="1" x14ac:dyDescent="0.25">
      <c r="A43" s="104">
        <v>30</v>
      </c>
      <c r="B43" s="403" t="s">
        <v>535</v>
      </c>
      <c r="C43" s="135"/>
      <c r="D43" s="104" t="s">
        <v>212</v>
      </c>
      <c r="E43" s="104" t="s">
        <v>213</v>
      </c>
      <c r="F43" s="104" t="s">
        <v>63</v>
      </c>
      <c r="G43" s="104" t="s">
        <v>64</v>
      </c>
      <c r="H43" s="149">
        <v>703112117</v>
      </c>
      <c r="I43" s="150" t="s">
        <v>536</v>
      </c>
      <c r="J43" s="111" t="s">
        <v>537</v>
      </c>
      <c r="K43" s="104" t="s">
        <v>538</v>
      </c>
      <c r="L43" s="246">
        <v>1.2</v>
      </c>
      <c r="M43" s="132">
        <f t="shared" si="0"/>
        <v>2172</v>
      </c>
      <c r="N43" s="392">
        <v>1518</v>
      </c>
      <c r="O43" s="133">
        <f t="shared" si="1"/>
        <v>2172</v>
      </c>
      <c r="P43" s="293">
        <f t="shared" si="2"/>
        <v>3690</v>
      </c>
      <c r="Q43" s="133">
        <f>IF(OR($G43="EST",$G43="EFE"),0,IF($P43&gt;='Tabelas INSS e IR'!$B$8,'Tabelas INSS e IR'!$D$8,IF($P43&gt;='Tabelas INSS e IR'!$B$7,($P43*'Tabelas INSS e IR'!$D$7)-'Tabelas INSS e IR'!$E$7,IF($P43&gt;='Tabelas INSS e IR'!$B$6,($P43*'Tabelas INSS e IR'!$D$6)-'Tabelas INSS e IR'!$E$6,IF($P43&gt;='Tabelas INSS e IR'!$B$5,($P43*'Tabelas INSS e IR'!$D$5)-'Tabelas INSS e IR'!$E$5,$P43*'Tabelas INSS e IR'!$D$4)))))</f>
        <v>336.21000000000004</v>
      </c>
      <c r="R43" s="133">
        <f>IF(OR($G43="EST",$G43="EFE"),0,IF($N43&gt;='Tabelas INSS e IR'!$B$8,'Tabelas INSS e IR'!$D$8,IF($N43&gt;='Tabelas INSS e IR'!$B$7,($N43*'Tabelas INSS e IR'!$D$7)-'Tabelas INSS e IR'!$E$7,IF($N43&gt;='Tabelas INSS e IR'!$B$6,($N43*'Tabelas INSS e IR'!$D$6)-'Tabelas INSS e IR'!$E$6,IF($N43&gt;='Tabelas INSS e IR'!$B$5,($N43*'Tabelas INSS e IR'!$D$5)-'Tabelas INSS e IR'!$E$5,$N43*'Tabelas INSS e IR'!$D$4)))))</f>
        <v>113.84999999999998</v>
      </c>
      <c r="S43" s="132"/>
      <c r="T43" s="294">
        <f>(IF(OR($G43="EST",$G43="EFE"),0,IF((Q43+S43)&gt;'Tabelas INSS e IR'!$D$8,'Tabelas INSS e IR'!$D$8-(S43+R43),(Q43-R43))))</f>
        <v>222.36000000000007</v>
      </c>
      <c r="U43" s="392">
        <f t="shared" si="9"/>
        <v>1404.15</v>
      </c>
      <c r="V43" s="137"/>
      <c r="W43" s="247">
        <f t="shared" si="3"/>
        <v>1404.15</v>
      </c>
      <c r="X43" s="291">
        <f t="shared" si="4"/>
        <v>1949.6399999999999</v>
      </c>
      <c r="Y43" s="133">
        <f t="shared" si="5"/>
        <v>3353.79</v>
      </c>
      <c r="Z43" s="133">
        <f>IF($Y43&lt;'Tabelas INSS e IR'!$H$5,0,IF($Y43&lt;'Tabelas INSS e IR'!$H$6,($Y43*'Tabelas INSS e IR'!$J$5)-'Tabelas INSS e IR'!$K$5,IF($Y43&lt;'Tabelas INSS e IR'!$H$7,($Y43*'Tabelas INSS e IR'!$J$6)-'Tabelas INSS e IR'!$K$6,IF($Y43&lt;'Tabelas INSS e IR'!$H$8,($Y43*'Tabelas INSS e IR'!$J$7)-'Tabelas INSS e IR'!$K$7,($Y43*'Tabelas INSS e IR'!$J$8)-'Tabelas INSS e IR'!$K$8))))</f>
        <v>108.90849999999995</v>
      </c>
      <c r="AA43" s="133">
        <f>IF($W43&lt;'Tabelas INSS e IR'!$H$5,0,IF($W43&lt;'Tabelas INSS e IR'!$H$6,($W43*'Tabelas INSS e IR'!$J$5)-'Tabelas INSS e IR'!$K$5,IF($W43&lt;'Tabelas INSS e IR'!$H$7,($W43*'Tabelas INSS e IR'!$J$6)-'Tabelas INSS e IR'!$K$6,IF($W43&lt;'Tabelas INSS e IR'!$H$8,($W43*'Tabelas INSS e IR'!$J$7)-'Tabelas INSS e IR'!$K$7,($W43*'Tabelas INSS e IR'!$J$8)-'Tabelas INSS e IR'!$K$8))))</f>
        <v>0</v>
      </c>
      <c r="AB43" s="294">
        <f t="shared" si="6"/>
        <v>108.90849999999995</v>
      </c>
      <c r="AC43" s="138"/>
      <c r="AD43" s="137"/>
      <c r="AE43" s="139"/>
      <c r="AF43" s="297">
        <f t="shared" si="7"/>
        <v>331.26850000000002</v>
      </c>
      <c r="AG43" s="297">
        <f t="shared" si="8"/>
        <v>1840.7314999999999</v>
      </c>
    </row>
    <row r="44" spans="1:34" s="468" customFormat="1" ht="15" customHeight="1" x14ac:dyDescent="0.25">
      <c r="A44" s="103">
        <v>31</v>
      </c>
      <c r="B44" s="403" t="s">
        <v>214</v>
      </c>
      <c r="C44" s="135">
        <v>31565</v>
      </c>
      <c r="D44" s="104" t="s">
        <v>61</v>
      </c>
      <c r="E44" s="104" t="s">
        <v>176</v>
      </c>
      <c r="F44" s="104" t="s">
        <v>177</v>
      </c>
      <c r="G44" s="104" t="s">
        <v>178</v>
      </c>
      <c r="H44" s="136">
        <v>642056</v>
      </c>
      <c r="I44" s="148" t="s">
        <v>215</v>
      </c>
      <c r="J44" s="104" t="s">
        <v>216</v>
      </c>
      <c r="K44" s="104" t="s">
        <v>217</v>
      </c>
      <c r="L44" s="246">
        <v>1.1499999999999999</v>
      </c>
      <c r="M44" s="132">
        <f t="shared" si="0"/>
        <v>2081.5</v>
      </c>
      <c r="N44" s="134"/>
      <c r="O44" s="133">
        <f t="shared" si="1"/>
        <v>2081.5</v>
      </c>
      <c r="P44" s="293">
        <f t="shared" si="2"/>
        <v>2081.5</v>
      </c>
      <c r="Q44" s="133">
        <f>IF(OR($G44="EST",$G44="EFE"),0,IF($P44&gt;='Tabelas INSS e IR'!$B$8,'Tabelas INSS e IR'!$D$8,IF($P44&gt;='Tabelas INSS e IR'!$B$7,($P44*'Tabelas INSS e IR'!$D$7)-'Tabelas INSS e IR'!$E$7,IF($P44&gt;='Tabelas INSS e IR'!$B$6,($P44*'Tabelas INSS e IR'!$D$6)-'Tabelas INSS e IR'!$E$6,IF($P44&gt;='Tabelas INSS e IR'!$B$5,($P44*'Tabelas INSS e IR'!$D$5)-'Tabelas INSS e IR'!$E$5,$P44*'Tabelas INSS e IR'!$D$4)))))</f>
        <v>0</v>
      </c>
      <c r="R44" s="133">
        <f>IF(OR($G44="EST",$G44="EFE"),0,IF($N44&gt;='Tabelas INSS e IR'!$B$8,'Tabelas INSS e IR'!$D$8,IF($N44&gt;='Tabelas INSS e IR'!$B$7,($N44*'Tabelas INSS e IR'!$D$7)-'Tabelas INSS e IR'!$E$7,IF($N44&gt;='Tabelas INSS e IR'!$B$6,($N44*'Tabelas INSS e IR'!$D$6)-'Tabelas INSS e IR'!$E$6,IF($N44&gt;='Tabelas INSS e IR'!$B$5,($N44*'Tabelas INSS e IR'!$D$5)-'Tabelas INSS e IR'!$E$5,$N44*'Tabelas INSS e IR'!$D$4)))))</f>
        <v>0</v>
      </c>
      <c r="S44" s="132"/>
      <c r="T44" s="294">
        <f>(IF(OR($G44="EST",$G44="EFE"),0,IF((Q44+S44)&gt;'Tabelas INSS e IR'!$D$8,'Tabelas INSS e IR'!$D$8-(S44+R44),(Q44-R44))))</f>
        <v>0</v>
      </c>
      <c r="U44" s="392">
        <v>3104.85</v>
      </c>
      <c r="V44" s="137"/>
      <c r="W44" s="247">
        <f t="shared" si="3"/>
        <v>3104.85</v>
      </c>
      <c r="X44" s="291">
        <f t="shared" si="4"/>
        <v>2081.5</v>
      </c>
      <c r="Y44" s="133">
        <f t="shared" si="5"/>
        <v>5186.3500000000004</v>
      </c>
      <c r="Z44" s="133">
        <f>IF($Y44&lt;'Tabelas INSS e IR'!$H$5,0,IF($Y44&lt;'Tabelas INSS e IR'!$H$6,($Y44*'Tabelas INSS e IR'!$J$5)-'Tabelas INSS e IR'!$K$5,IF($Y44&lt;'Tabelas INSS e IR'!$H$7,($Y44*'Tabelas INSS e IR'!$J$6)-'Tabelas INSS e IR'!$K$6,IF($Y44&lt;'Tabelas INSS e IR'!$H$8,($Y44*'Tabelas INSS e IR'!$J$7)-'Tabelas INSS e IR'!$K$7,($Y44*'Tabelas INSS e IR'!$J$8)-'Tabelas INSS e IR'!$K$8))))</f>
        <v>517.51625000000013</v>
      </c>
      <c r="AA44" s="133">
        <f>IF($W44&lt;'Tabelas INSS e IR'!$H$5,0,IF($W44&lt;'Tabelas INSS e IR'!$H$6,($W44*'Tabelas INSS e IR'!$J$5)-'Tabelas INSS e IR'!$K$5,IF($W44&lt;'Tabelas INSS e IR'!$H$7,($W44*'Tabelas INSS e IR'!$J$6)-'Tabelas INSS e IR'!$K$6,IF($W44&lt;'Tabelas INSS e IR'!$H$8,($W44*'Tabelas INSS e IR'!$J$7)-'Tabelas INSS e IR'!$K$7,($W44*'Tabelas INSS e IR'!$J$8)-'Tabelas INSS e IR'!$K$8))))</f>
        <v>71.567499999999939</v>
      </c>
      <c r="AB44" s="294">
        <f t="shared" si="6"/>
        <v>445.94875000000019</v>
      </c>
      <c r="AC44" s="138"/>
      <c r="AD44" s="137"/>
      <c r="AE44" s="139"/>
      <c r="AF44" s="297">
        <f t="shared" si="7"/>
        <v>445.94875000000019</v>
      </c>
      <c r="AG44" s="297">
        <f t="shared" si="8"/>
        <v>1635.5512499999998</v>
      </c>
    </row>
    <row r="45" spans="1:34" s="469" customFormat="1" ht="15" customHeight="1" x14ac:dyDescent="0.25">
      <c r="A45" s="103">
        <v>32</v>
      </c>
      <c r="B45" s="403" t="s">
        <v>218</v>
      </c>
      <c r="C45" s="135">
        <v>43648</v>
      </c>
      <c r="D45" s="104" t="s">
        <v>212</v>
      </c>
      <c r="E45" s="391" t="s">
        <v>219</v>
      </c>
      <c r="F45" s="104" t="s">
        <v>63</v>
      </c>
      <c r="G45" s="104" t="s">
        <v>64</v>
      </c>
      <c r="H45" s="136" t="s">
        <v>220</v>
      </c>
      <c r="I45" s="148" t="s">
        <v>221</v>
      </c>
      <c r="J45" s="104" t="s">
        <v>84</v>
      </c>
      <c r="K45" s="104" t="s">
        <v>222</v>
      </c>
      <c r="L45" s="246">
        <v>0.45</v>
      </c>
      <c r="M45" s="132">
        <f t="shared" si="0"/>
        <v>814.50000000000011</v>
      </c>
      <c r="N45" s="134"/>
      <c r="O45" s="133">
        <f t="shared" si="1"/>
        <v>814.50000000000011</v>
      </c>
      <c r="P45" s="293">
        <f t="shared" si="2"/>
        <v>814.50000000000011</v>
      </c>
      <c r="Q45" s="133">
        <f>IF(OR($G45="EST",$G45="EFE"),0,IF($P45&gt;='Tabelas INSS e IR'!$B$8,'Tabelas INSS e IR'!$D$8,IF($P45&gt;='Tabelas INSS e IR'!$B$7,($P45*'Tabelas INSS e IR'!$D$7)-'Tabelas INSS e IR'!$E$7,IF($P45&gt;='Tabelas INSS e IR'!$B$6,($P45*'Tabelas INSS e IR'!$D$6)-'Tabelas INSS e IR'!$E$6,IF($P45&gt;='Tabelas INSS e IR'!$B$5,($P45*'Tabelas INSS e IR'!$D$5)-'Tabelas INSS e IR'!$E$5,$P45*'Tabelas INSS e IR'!$D$4)))))</f>
        <v>61.087499999999991</v>
      </c>
      <c r="R45" s="133">
        <f>IF(OR($G45="EST",$G45="EFE"),0,IF($N45&gt;='Tabelas INSS e IR'!$B$8,'Tabelas INSS e IR'!$D$8,IF($N45&gt;='Tabelas INSS e IR'!$B$7,($N45*'Tabelas INSS e IR'!$D$7)-'Tabelas INSS e IR'!$E$7,IF($N45&gt;='Tabelas INSS e IR'!$B$6,($N45*'Tabelas INSS e IR'!$D$6)-'Tabelas INSS e IR'!$E$6,IF($N45&gt;='Tabelas INSS e IR'!$B$5,($N45*'Tabelas INSS e IR'!$D$5)-'Tabelas INSS e IR'!$E$5,$N45*'Tabelas INSS e IR'!$D$4)))))</f>
        <v>0</v>
      </c>
      <c r="S45" s="132"/>
      <c r="T45" s="294">
        <f>(IF(OR($G45="EST",$G45="EFE"),0,IF((Q45+S45)&gt;'Tabelas INSS e IR'!$D$8,'Tabelas INSS e IR'!$D$8-(S45+R45),(Q45-R45))))</f>
        <v>61.087499999999991</v>
      </c>
      <c r="U45" s="392">
        <f t="shared" si="9"/>
        <v>0</v>
      </c>
      <c r="V45" s="137"/>
      <c r="W45" s="247">
        <f t="shared" si="3"/>
        <v>0</v>
      </c>
      <c r="X45" s="291">
        <f t="shared" si="4"/>
        <v>753.41250000000014</v>
      </c>
      <c r="Y45" s="133">
        <f t="shared" si="5"/>
        <v>753.41250000000014</v>
      </c>
      <c r="Z45" s="133">
        <f>IF($Y45&lt;'Tabelas INSS e IR'!$H$5,0,IF($Y45&lt;'Tabelas INSS e IR'!$H$6,($Y45*'Tabelas INSS e IR'!$J$5)-'Tabelas INSS e IR'!$K$5,IF($Y45&lt;'Tabelas INSS e IR'!$H$7,($Y45*'Tabelas INSS e IR'!$J$6)-'Tabelas INSS e IR'!$K$6,IF($Y45&lt;'Tabelas INSS e IR'!$H$8,($Y45*'Tabelas INSS e IR'!$J$7)-'Tabelas INSS e IR'!$K$7,($Y45*'Tabelas INSS e IR'!$J$8)-'Tabelas INSS e IR'!$K$8))))</f>
        <v>0</v>
      </c>
      <c r="AA45" s="133">
        <f>IF($W45&lt;'Tabelas INSS e IR'!$H$5,0,IF($W45&lt;'Tabelas INSS e IR'!$H$6,($W45*'Tabelas INSS e IR'!$J$5)-'Tabelas INSS e IR'!$K$5,IF($W45&lt;'Tabelas INSS e IR'!$H$7,($W45*'Tabelas INSS e IR'!$J$6)-'Tabelas INSS e IR'!$K$6,IF($W45&lt;'Tabelas INSS e IR'!$H$8,($W45*'Tabelas INSS e IR'!$J$7)-'Tabelas INSS e IR'!$K$7,($W45*'Tabelas INSS e IR'!$J$8)-'Tabelas INSS e IR'!$K$8))))</f>
        <v>0</v>
      </c>
      <c r="AB45" s="294">
        <f t="shared" si="6"/>
        <v>0</v>
      </c>
      <c r="AC45" s="138"/>
      <c r="AD45" s="137"/>
      <c r="AE45" s="139"/>
      <c r="AF45" s="297">
        <f t="shared" si="7"/>
        <v>61.087499999999991</v>
      </c>
      <c r="AG45" s="297">
        <f t="shared" si="8"/>
        <v>753.41250000000014</v>
      </c>
    </row>
    <row r="46" spans="1:34" s="468" customFormat="1" ht="15" customHeight="1" x14ac:dyDescent="0.25">
      <c r="A46" s="103">
        <v>33</v>
      </c>
      <c r="B46" s="403" t="s">
        <v>223</v>
      </c>
      <c r="C46" s="135">
        <v>30536</v>
      </c>
      <c r="D46" s="104" t="s">
        <v>224</v>
      </c>
      <c r="E46" s="104" t="s">
        <v>182</v>
      </c>
      <c r="F46" s="104" t="s">
        <v>177</v>
      </c>
      <c r="G46" s="104" t="s">
        <v>178</v>
      </c>
      <c r="H46" s="136" t="s">
        <v>225</v>
      </c>
      <c r="I46" s="110" t="s">
        <v>226</v>
      </c>
      <c r="J46" s="104" t="s">
        <v>117</v>
      </c>
      <c r="K46" s="104" t="s">
        <v>227</v>
      </c>
      <c r="L46" s="246">
        <v>0.41</v>
      </c>
      <c r="M46" s="132">
        <f t="shared" si="0"/>
        <v>742.09999999999991</v>
      </c>
      <c r="N46" s="134"/>
      <c r="O46" s="133">
        <f t="shared" si="1"/>
        <v>742.09999999999991</v>
      </c>
      <c r="P46" s="293">
        <f t="shared" ref="P46:P77" si="10">N46+O46</f>
        <v>742.09999999999991</v>
      </c>
      <c r="Q46" s="133">
        <f>IF(OR($G46="EST",$G46="EFE"),0,IF($P46&gt;='Tabelas INSS e IR'!$B$8,'Tabelas INSS e IR'!$D$8,IF($P46&gt;='Tabelas INSS e IR'!$B$7,($P46*'Tabelas INSS e IR'!$D$7)-'Tabelas INSS e IR'!$E$7,IF($P46&gt;='Tabelas INSS e IR'!$B$6,($P46*'Tabelas INSS e IR'!$D$6)-'Tabelas INSS e IR'!$E$6,IF($P46&gt;='Tabelas INSS e IR'!$B$5,($P46*'Tabelas INSS e IR'!$D$5)-'Tabelas INSS e IR'!$E$5,$P46*'Tabelas INSS e IR'!$D$4)))))</f>
        <v>0</v>
      </c>
      <c r="R46" s="133">
        <f>IF(OR($G46="EST",$G46="EFE"),0,IF($N46&gt;='Tabelas INSS e IR'!$B$8,'Tabelas INSS e IR'!$D$8,IF($N46&gt;='Tabelas INSS e IR'!$B$7,($N46*'Tabelas INSS e IR'!$D$7)-'Tabelas INSS e IR'!$E$7,IF($N46&gt;='Tabelas INSS e IR'!$B$6,($N46*'Tabelas INSS e IR'!$D$6)-'Tabelas INSS e IR'!$E$6,IF($N46&gt;='Tabelas INSS e IR'!$B$5,($N46*'Tabelas INSS e IR'!$D$5)-'Tabelas INSS e IR'!$E$5,$N46*'Tabelas INSS e IR'!$D$4)))))</f>
        <v>0</v>
      </c>
      <c r="S46" s="132"/>
      <c r="T46" s="294">
        <f>(IF(OR($G46="EST",$G46="EFE"),0,IF((Q46+S46)&gt;'Tabelas INSS e IR'!$D$8,'Tabelas INSS e IR'!$D$8-(S46+R46),(Q46-R46))))</f>
        <v>0</v>
      </c>
      <c r="U46" s="392">
        <v>4150.87</v>
      </c>
      <c r="V46" s="137"/>
      <c r="W46" s="247">
        <f t="shared" ref="W46:W77" si="11">U46-V46</f>
        <v>4150.87</v>
      </c>
      <c r="X46" s="291">
        <f t="shared" ref="X46:X77" si="12">O46-T46</f>
        <v>742.09999999999991</v>
      </c>
      <c r="Y46" s="133">
        <f t="shared" ref="Y46:Y77" si="13">W46+X46</f>
        <v>4892.9699999999993</v>
      </c>
      <c r="Z46" s="133">
        <f>IF($Y46&lt;'Tabelas INSS e IR'!$H$5,0,IF($Y46&lt;'Tabelas INSS e IR'!$H$6,($Y46*'Tabelas INSS e IR'!$J$5)-'Tabelas INSS e IR'!$K$5,IF($Y46&lt;'Tabelas INSS e IR'!$H$7,($Y46*'Tabelas INSS e IR'!$J$6)-'Tabelas INSS e IR'!$K$6,IF($Y46&lt;'Tabelas INSS e IR'!$H$8,($Y46*'Tabelas INSS e IR'!$J$7)-'Tabelas INSS e IR'!$K$7,($Y46*'Tabelas INSS e IR'!$J$8)-'Tabelas INSS e IR'!$K$8))))</f>
        <v>436.83674999999994</v>
      </c>
      <c r="AA46" s="133">
        <f>IF($W46&lt;'Tabelas INSS e IR'!$H$5,0,IF($W46&lt;'Tabelas INSS e IR'!$H$6,($W46*'Tabelas INSS e IR'!$J$5)-'Tabelas INSS e IR'!$K$5,IF($W46&lt;'Tabelas INSS e IR'!$H$7,($W46*'Tabelas INSS e IR'!$J$6)-'Tabelas INSS e IR'!$K$6,IF($W46&lt;'Tabelas INSS e IR'!$H$8,($W46*'Tabelas INSS e IR'!$J$7)-'Tabelas INSS e IR'!$K$7,($W46*'Tabelas INSS e IR'!$J$8)-'Tabelas INSS e IR'!$K$8))))</f>
        <v>258.45574999999997</v>
      </c>
      <c r="AB46" s="294">
        <f t="shared" ref="AB46:AB77" si="14">Z46-AA46</f>
        <v>178.38099999999997</v>
      </c>
      <c r="AC46" s="138"/>
      <c r="AD46" s="137"/>
      <c r="AE46" s="139"/>
      <c r="AF46" s="297">
        <f t="shared" ref="AF46:AF77" si="15">T46+AB46+AC46</f>
        <v>178.38099999999997</v>
      </c>
      <c r="AG46" s="297">
        <f t="shared" ref="AG46:AG108" si="16">O46-AF46</f>
        <v>563.71899999999994</v>
      </c>
    </row>
    <row r="47" spans="1:34" s="468" customFormat="1" ht="15" customHeight="1" x14ac:dyDescent="0.25">
      <c r="A47" s="104">
        <v>34</v>
      </c>
      <c r="B47" s="403" t="s">
        <v>562</v>
      </c>
      <c r="C47" s="135">
        <v>45478</v>
      </c>
      <c r="D47" s="104" t="s">
        <v>127</v>
      </c>
      <c r="E47" s="104" t="s">
        <v>563</v>
      </c>
      <c r="F47" s="104" t="s">
        <v>177</v>
      </c>
      <c r="G47" s="104" t="s">
        <v>178</v>
      </c>
      <c r="H47" s="136">
        <v>36469262</v>
      </c>
      <c r="I47" s="110" t="s">
        <v>564</v>
      </c>
      <c r="J47" s="104" t="s">
        <v>565</v>
      </c>
      <c r="K47" s="104" t="s">
        <v>566</v>
      </c>
      <c r="L47" s="246">
        <v>0.6</v>
      </c>
      <c r="M47" s="132">
        <f t="shared" si="0"/>
        <v>1086</v>
      </c>
      <c r="N47" s="502"/>
      <c r="O47" s="133">
        <f t="shared" si="1"/>
        <v>1086</v>
      </c>
      <c r="P47" s="293">
        <f t="shared" si="10"/>
        <v>1086</v>
      </c>
      <c r="Q47" s="133">
        <f>IF(OR($G47="EST",$G47="EFE"),0,IF($P47&gt;='Tabelas INSS e IR'!$B$8,'Tabelas INSS e IR'!$D$8,IF($P47&gt;='Tabelas INSS e IR'!$B$7,($P47*'Tabelas INSS e IR'!$D$7)-'Tabelas INSS e IR'!$E$7,IF($P47&gt;='Tabelas INSS e IR'!$B$6,($P47*'Tabelas INSS e IR'!$D$6)-'Tabelas INSS e IR'!$E$6,IF($P47&gt;='Tabelas INSS e IR'!$B$5,($P47*'Tabelas INSS e IR'!$D$5)-'Tabelas INSS e IR'!$E$5,$P47*'Tabelas INSS e IR'!$D$4)))))</f>
        <v>0</v>
      </c>
      <c r="R47" s="133">
        <f>IF(OR($G47="EST",$G47="EFE"),0,IF($N47&gt;='Tabelas INSS e IR'!$B$8,'Tabelas INSS e IR'!$D$8,IF($N47&gt;='Tabelas INSS e IR'!$B$7,($N47*'Tabelas INSS e IR'!$D$7)-'Tabelas INSS e IR'!$E$7,IF($N47&gt;='Tabelas INSS e IR'!$B$6,($N47*'Tabelas INSS e IR'!$D$6)-'Tabelas INSS e IR'!$E$6,IF($N47&gt;='Tabelas INSS e IR'!$B$5,($N47*'Tabelas INSS e IR'!$D$5)-'Tabelas INSS e IR'!$E$5,$N47*'Tabelas INSS e IR'!$D$4)))))</f>
        <v>0</v>
      </c>
      <c r="S47" s="132"/>
      <c r="T47" s="294">
        <f>(IF(OR($G47="EST",$G47="EFE"),0,IF((Q47+S47)&gt;'Tabelas INSS e IR'!$D$8,'Tabelas INSS e IR'!$D$8-(S47+R47),(Q47-R47))))</f>
        <v>0</v>
      </c>
      <c r="U47" s="392">
        <v>2845.54</v>
      </c>
      <c r="V47" s="137"/>
      <c r="W47" s="247">
        <f t="shared" si="11"/>
        <v>2845.54</v>
      </c>
      <c r="X47" s="291">
        <f t="shared" si="12"/>
        <v>1086</v>
      </c>
      <c r="Y47" s="133">
        <f t="shared" si="13"/>
        <v>3931.54</v>
      </c>
      <c r="Z47" s="133">
        <f>IF($Y47&lt;'Tabelas INSS e IR'!$H$5,0,IF($Y47&lt;'Tabelas INSS e IR'!$H$6,($Y47*'Tabelas INSS e IR'!$J$5)-'Tabelas INSS e IR'!$K$5,IF($Y47&lt;'Tabelas INSS e IR'!$H$7,($Y47*'Tabelas INSS e IR'!$J$6)-'Tabelas INSS e IR'!$K$6,IF($Y47&lt;'Tabelas INSS e IR'!$H$8,($Y47*'Tabelas INSS e IR'!$J$7)-'Tabelas INSS e IR'!$K$7,($Y47*'Tabelas INSS e IR'!$J$8)-'Tabelas INSS e IR'!$K$8))))</f>
        <v>209.10649999999998</v>
      </c>
      <c r="AA47" s="133">
        <f>IF($W47&lt;'Tabelas INSS e IR'!$H$5,0,IF($W47&lt;'Tabelas INSS e IR'!$H$6,($W47*'Tabelas INSS e IR'!$J$5)-'Tabelas INSS e IR'!$K$5,IF($W47&lt;'Tabelas INSS e IR'!$H$7,($W47*'Tabelas INSS e IR'!$J$6)-'Tabelas INSS e IR'!$K$6,IF($W47&lt;'Tabelas INSS e IR'!$H$8,($W47*'Tabelas INSS e IR'!$J$7)-'Tabelas INSS e IR'!$K$7,($W47*'Tabelas INSS e IR'!$J$8)-'Tabelas INSS e IR'!$K$8))))</f>
        <v>32.670999999999935</v>
      </c>
      <c r="AB47" s="294">
        <f t="shared" si="14"/>
        <v>176.43550000000005</v>
      </c>
      <c r="AC47" s="138"/>
      <c r="AD47" s="137"/>
      <c r="AE47" s="139"/>
      <c r="AF47" s="297">
        <f t="shared" si="15"/>
        <v>176.43550000000005</v>
      </c>
      <c r="AG47" s="297">
        <f t="shared" si="16"/>
        <v>909.56449999999995</v>
      </c>
    </row>
    <row r="48" spans="1:34" s="468" customFormat="1" ht="15" customHeight="1" x14ac:dyDescent="0.25">
      <c r="A48" s="103">
        <v>35</v>
      </c>
      <c r="B48" s="547" t="s">
        <v>581</v>
      </c>
      <c r="C48" s="135">
        <v>45748</v>
      </c>
      <c r="D48" s="104" t="s">
        <v>579</v>
      </c>
      <c r="E48" s="104" t="s">
        <v>580</v>
      </c>
      <c r="F48" s="104" t="s">
        <v>63</v>
      </c>
      <c r="G48" s="104" t="s">
        <v>64</v>
      </c>
      <c r="H48" s="104">
        <v>34835172</v>
      </c>
      <c r="I48" s="148" t="s">
        <v>583</v>
      </c>
      <c r="J48" s="104" t="s">
        <v>84</v>
      </c>
      <c r="K48" s="104" t="s">
        <v>582</v>
      </c>
      <c r="L48" s="246">
        <v>0.65</v>
      </c>
      <c r="M48" s="132">
        <f t="shared" si="0"/>
        <v>1176.5</v>
      </c>
      <c r="N48" s="408">
        <v>1518</v>
      </c>
      <c r="O48" s="133">
        <f t="shared" si="1"/>
        <v>1176.5</v>
      </c>
      <c r="P48" s="293">
        <f t="shared" si="10"/>
        <v>2694.5</v>
      </c>
      <c r="Q48" s="133">
        <f>IF(OR($G48="EST",$G48="EFE"),0,IF($P48&gt;='Tabelas INSS e IR'!$B$8,'Tabelas INSS e IR'!$D$8,IF($P48&gt;='Tabelas INSS e IR'!$B$7,($P48*'Tabelas INSS e IR'!$D$7)-'Tabelas INSS e IR'!$E$7,IF($P48&gt;='Tabelas INSS e IR'!$B$6,($P48*'Tabelas INSS e IR'!$D$6)-'Tabelas INSS e IR'!$E$6,IF($P48&gt;='Tabelas INSS e IR'!$B$5,($P48*'Tabelas INSS e IR'!$D$5)-'Tabelas INSS e IR'!$E$5,$P48*'Tabelas INSS e IR'!$D$4)))))</f>
        <v>219.73499999999999</v>
      </c>
      <c r="R48" s="133">
        <f>IF(OR($G48="EST",$G48="EFE"),0,IF($N48&gt;='Tabelas INSS e IR'!$B$8,'Tabelas INSS e IR'!$D$8,IF($N48&gt;='Tabelas INSS e IR'!$B$7,($N48*'Tabelas INSS e IR'!$D$7)-'Tabelas INSS e IR'!$E$7,IF($N48&gt;='Tabelas INSS e IR'!$B$6,($N48*'Tabelas INSS e IR'!$D$6)-'Tabelas INSS e IR'!$E$6,IF($N48&gt;='Tabelas INSS e IR'!$B$5,($N48*'Tabelas INSS e IR'!$D$5)-'Tabelas INSS e IR'!$E$5,$N48*'Tabelas INSS e IR'!$D$4)))))</f>
        <v>113.84999999999998</v>
      </c>
      <c r="S48" s="132"/>
      <c r="T48" s="294">
        <f>(IF(OR($G48="EST",$G48="EFE"),0,IF((Q48+S48)&gt;'Tabelas INSS e IR'!$D$8,'Tabelas INSS e IR'!$D$8-(S48+R48),(Q48-R48))))</f>
        <v>105.88500000000001</v>
      </c>
      <c r="U48" s="392">
        <v>1404.15</v>
      </c>
      <c r="V48" s="137"/>
      <c r="W48" s="247">
        <f t="shared" si="11"/>
        <v>1404.15</v>
      </c>
      <c r="X48" s="291">
        <f t="shared" si="12"/>
        <v>1070.615</v>
      </c>
      <c r="Y48" s="133">
        <f t="shared" si="13"/>
        <v>2474.7650000000003</v>
      </c>
      <c r="Z48" s="133">
        <f>IF($Y48&lt;'Tabelas INSS e IR'!$H$5,0,IF($Y48&lt;'Tabelas INSS e IR'!$H$6,($Y48*'Tabelas INSS e IR'!$J$5)-'Tabelas INSS e IR'!$K$5,IF($Y48&lt;'Tabelas INSS e IR'!$H$7,($Y48*'Tabelas INSS e IR'!$J$6)-'Tabelas INSS e IR'!$K$6,IF($Y48&lt;'Tabelas INSS e IR'!$H$8,($Y48*'Tabelas INSS e IR'!$J$7)-'Tabelas INSS e IR'!$K$7,($Y48*'Tabelas INSS e IR'!$J$8)-'Tabelas INSS e IR'!$K$8))))</f>
        <v>3.4473749999999939</v>
      </c>
      <c r="AA48" s="133">
        <f>IF($W48&lt;'Tabelas INSS e IR'!$H$5,0,IF($W48&lt;'Tabelas INSS e IR'!$H$6,($W48*'Tabelas INSS e IR'!$J$5)-'Tabelas INSS e IR'!$K$5,IF($W48&lt;'Tabelas INSS e IR'!$H$7,($W48*'Tabelas INSS e IR'!$J$6)-'Tabelas INSS e IR'!$K$6,IF($W48&lt;'Tabelas INSS e IR'!$H$8,($W48*'Tabelas INSS e IR'!$J$7)-'Tabelas INSS e IR'!$K$7,($W48*'Tabelas INSS e IR'!$J$8)-'Tabelas INSS e IR'!$K$8))))</f>
        <v>0</v>
      </c>
      <c r="AB48" s="294">
        <f t="shared" si="14"/>
        <v>3.4473749999999939</v>
      </c>
      <c r="AC48" s="138"/>
      <c r="AD48" s="137"/>
      <c r="AE48" s="139"/>
      <c r="AF48" s="297">
        <f t="shared" si="15"/>
        <v>109.332375</v>
      </c>
      <c r="AG48" s="297">
        <f t="shared" si="16"/>
        <v>1067.167625</v>
      </c>
    </row>
    <row r="49" spans="1:33" s="468" customFormat="1" ht="15" customHeight="1" x14ac:dyDescent="0.25">
      <c r="A49" s="103">
        <v>36</v>
      </c>
      <c r="B49" s="403" t="s">
        <v>567</v>
      </c>
      <c r="C49" s="135">
        <v>45574</v>
      </c>
      <c r="D49" s="104" t="s">
        <v>229</v>
      </c>
      <c r="E49" s="104" t="s">
        <v>230</v>
      </c>
      <c r="F49" s="104" t="s">
        <v>177</v>
      </c>
      <c r="G49" s="104" t="s">
        <v>178</v>
      </c>
      <c r="H49" s="149">
        <v>425709</v>
      </c>
      <c r="I49" s="150" t="s">
        <v>568</v>
      </c>
      <c r="J49" s="111" t="s">
        <v>72</v>
      </c>
      <c r="K49" s="104" t="s">
        <v>569</v>
      </c>
      <c r="L49" s="246">
        <v>2.5</v>
      </c>
      <c r="M49" s="540">
        <f>$I$10*L49%</f>
        <v>4525</v>
      </c>
      <c r="N49" s="134"/>
      <c r="O49" s="133">
        <f t="shared" si="1"/>
        <v>4525</v>
      </c>
      <c r="P49" s="293">
        <f t="shared" si="10"/>
        <v>4525</v>
      </c>
      <c r="Q49" s="133">
        <f>IF(OR($G49="EST",$G49="EFE"),0,IF($P49&gt;='Tabelas INSS e IR'!$B$8,'Tabelas INSS e IR'!$D$8,IF($P49&gt;='Tabelas INSS e IR'!$B$7,($P49*'Tabelas INSS e IR'!$D$7)-'Tabelas INSS e IR'!$E$7,IF($P49&gt;='Tabelas INSS e IR'!$B$6,($P49*'Tabelas INSS e IR'!$D$6)-'Tabelas INSS e IR'!$E$6,IF($P49&gt;='Tabelas INSS e IR'!$B$5,($P49*'Tabelas INSS e IR'!$D$5)-'Tabelas INSS e IR'!$E$5,$P49*'Tabelas INSS e IR'!$D$4)))))</f>
        <v>0</v>
      </c>
      <c r="R49" s="133">
        <f>IF(OR($G49="EST",$G49="EFE"),0,IF($N49&gt;='Tabelas INSS e IR'!$B$8,'Tabelas INSS e IR'!$D$8,IF($N49&gt;='Tabelas INSS e IR'!$B$7,($N49*'Tabelas INSS e IR'!$D$7)-'Tabelas INSS e IR'!$E$7,IF($N49&gt;='Tabelas INSS e IR'!$B$6,($N49*'Tabelas INSS e IR'!$D$6)-'Tabelas INSS e IR'!$E$6,IF($N49&gt;='Tabelas INSS e IR'!$B$5,($N49*'Tabelas INSS e IR'!$D$5)-'Tabelas INSS e IR'!$E$5,$N49*'Tabelas INSS e IR'!$D$4)))))</f>
        <v>0</v>
      </c>
      <c r="S49" s="132"/>
      <c r="T49" s="294">
        <f>(IF(OR($G49="EST",$G49="EFE"),0,IF((Q49+S49)&gt;'Tabelas INSS e IR'!$D$8,'Tabelas INSS e IR'!$D$8-(S49+R49),(Q49-R49))))</f>
        <v>0</v>
      </c>
      <c r="U49" s="392">
        <v>21608.21</v>
      </c>
      <c r="V49" s="137"/>
      <c r="W49" s="247">
        <f t="shared" si="11"/>
        <v>21608.21</v>
      </c>
      <c r="X49" s="291">
        <f t="shared" si="12"/>
        <v>4525</v>
      </c>
      <c r="Y49" s="133">
        <f t="shared" si="13"/>
        <v>26133.21</v>
      </c>
      <c r="Z49" s="133">
        <f>IF($Y49&lt;'Tabelas INSS e IR'!$H$5,0,IF($Y49&lt;'Tabelas INSS e IR'!$H$6,($Y49*'Tabelas INSS e IR'!$J$5)-'Tabelas INSS e IR'!$K$5,IF($Y49&lt;'Tabelas INSS e IR'!$H$7,($Y49*'Tabelas INSS e IR'!$J$6)-'Tabelas INSS e IR'!$K$6,IF($Y49&lt;'Tabelas INSS e IR'!$H$8,($Y49*'Tabelas INSS e IR'!$J$7)-'Tabelas INSS e IR'!$K$7,($Y49*'Tabelas INSS e IR'!$J$8)-'Tabelas INSS e IR'!$K$8))))</f>
        <v>6277.9027500000011</v>
      </c>
      <c r="AA49" s="133">
        <f>IF($W49&lt;'Tabelas INSS e IR'!$H$5,0,IF($W49&lt;'Tabelas INSS e IR'!$H$6,($W49*'Tabelas INSS e IR'!$J$5)-'Tabelas INSS e IR'!$K$5,IF($W49&lt;'Tabelas INSS e IR'!$H$7,($W49*'Tabelas INSS e IR'!$J$6)-'Tabelas INSS e IR'!$K$6,IF($W49&lt;'Tabelas INSS e IR'!$H$8,($W49*'Tabelas INSS e IR'!$J$7)-'Tabelas INSS e IR'!$K$7,($W49*'Tabelas INSS e IR'!$J$8)-'Tabelas INSS e IR'!$K$8))))</f>
        <v>5033.5277500000011</v>
      </c>
      <c r="AB49" s="294">
        <f t="shared" si="14"/>
        <v>1244.375</v>
      </c>
      <c r="AC49" s="154"/>
      <c r="AD49" s="141"/>
      <c r="AE49" s="147"/>
      <c r="AF49" s="297">
        <f t="shared" si="15"/>
        <v>1244.375</v>
      </c>
      <c r="AG49" s="297">
        <f t="shared" si="16"/>
        <v>3280.625</v>
      </c>
    </row>
    <row r="50" spans="1:33" s="468" customFormat="1" ht="15" customHeight="1" x14ac:dyDescent="0.25">
      <c r="A50" s="103">
        <v>37</v>
      </c>
      <c r="B50" s="403" t="s">
        <v>539</v>
      </c>
      <c r="C50" s="135"/>
      <c r="D50" s="104" t="s">
        <v>231</v>
      </c>
      <c r="E50" s="104" t="s">
        <v>205</v>
      </c>
      <c r="F50" s="104" t="s">
        <v>63</v>
      </c>
      <c r="G50" s="104" t="s">
        <v>64</v>
      </c>
      <c r="H50" s="136">
        <v>724807847</v>
      </c>
      <c r="I50" s="148" t="s">
        <v>540</v>
      </c>
      <c r="J50" s="104" t="s">
        <v>541</v>
      </c>
      <c r="K50" s="136">
        <v>63929</v>
      </c>
      <c r="L50" s="246">
        <v>1.4</v>
      </c>
      <c r="M50" s="132">
        <f t="shared" si="0"/>
        <v>2533.9999999999995</v>
      </c>
      <c r="N50" s="546">
        <v>3157.38</v>
      </c>
      <c r="O50" s="133">
        <f t="shared" si="1"/>
        <v>2533.9999999999995</v>
      </c>
      <c r="P50" s="293">
        <f t="shared" si="10"/>
        <v>5691.3799999999992</v>
      </c>
      <c r="Q50" s="133">
        <f>IF(OR($G50="EST",$G50="EFE"),0,IF($P50&gt;='Tabelas INSS e IR'!$B$8,'Tabelas INSS e IR'!$D$8,IF($P50&gt;='Tabelas INSS e IR'!$B$7,($P50*'Tabelas INSS e IR'!$D$7)-'Tabelas INSS e IR'!$E$7,IF($P50&gt;='Tabelas INSS e IR'!$B$6,($P50*'Tabelas INSS e IR'!$D$6)-'Tabelas INSS e IR'!$E$6,IF($P50&gt;='Tabelas INSS e IR'!$B$5,($P50*'Tabelas INSS e IR'!$D$5)-'Tabelas INSS e IR'!$E$5,$P50*'Tabelas INSS e IR'!$D$4)))))</f>
        <v>606.39319999999998</v>
      </c>
      <c r="R50" s="133">
        <f>IF(OR($G50="EST",$G50="EFE"),0,IF($N50&gt;='Tabelas INSS e IR'!$B$8,'Tabelas INSS e IR'!$D$8,IF($N50&gt;='Tabelas INSS e IR'!$B$7,($N50*'Tabelas INSS e IR'!$D$7)-'Tabelas INSS e IR'!$E$7,IF($N50&gt;='Tabelas INSS e IR'!$B$6,($N50*'Tabelas INSS e IR'!$D$6)-'Tabelas INSS e IR'!$E$6,IF($N50&gt;='Tabelas INSS e IR'!$B$5,($N50*'Tabelas INSS e IR'!$D$5)-'Tabelas INSS e IR'!$E$5,$N50*'Tabelas INSS e IR'!$D$4)))))</f>
        <v>272.29560000000004</v>
      </c>
      <c r="S50" s="132"/>
      <c r="T50" s="294">
        <f>(IF(OR($G50="EST",$G50="EFE"),0,IF((Q50+S50)&gt;'Tabelas INSS e IR'!$D$8,'Tabelas INSS e IR'!$D$8-(S50+R50),(Q50-R50))))</f>
        <v>334.09759999999994</v>
      </c>
      <c r="U50" s="392">
        <f>N50-R50</f>
        <v>2885.0844000000002</v>
      </c>
      <c r="V50" s="163"/>
      <c r="W50" s="247">
        <f t="shared" si="11"/>
        <v>2885.0844000000002</v>
      </c>
      <c r="X50" s="291">
        <f t="shared" si="12"/>
        <v>2199.9023999999995</v>
      </c>
      <c r="Y50" s="133">
        <f t="shared" si="13"/>
        <v>5084.9867999999997</v>
      </c>
      <c r="Z50" s="133">
        <f>IF($Y50&lt;'Tabelas INSS e IR'!$H$5,0,IF($Y50&lt;'Tabelas INSS e IR'!$H$6,($Y50*'Tabelas INSS e IR'!$J$5)-'Tabelas INSS e IR'!$K$5,IF($Y50&lt;'Tabelas INSS e IR'!$H$7,($Y50*'Tabelas INSS e IR'!$J$6)-'Tabelas INSS e IR'!$K$6,IF($Y50&lt;'Tabelas INSS e IR'!$H$8,($Y50*'Tabelas INSS e IR'!$J$7)-'Tabelas INSS e IR'!$K$7,($Y50*'Tabelas INSS e IR'!$J$8)-'Tabelas INSS e IR'!$K$8))))</f>
        <v>489.64137000000005</v>
      </c>
      <c r="AA50" s="133">
        <f>IF($W50&lt;'Tabelas INSS e IR'!$H$5,0,IF($W50&lt;'Tabelas INSS e IR'!$H$6,($W50*'Tabelas INSS e IR'!$J$5)-'Tabelas INSS e IR'!$K$5,IF($W50&lt;'Tabelas INSS e IR'!$H$7,($W50*'Tabelas INSS e IR'!$J$6)-'Tabelas INSS e IR'!$K$6,IF($W50&lt;'Tabelas INSS e IR'!$H$8,($W50*'Tabelas INSS e IR'!$J$7)-'Tabelas INSS e IR'!$K$7,($W50*'Tabelas INSS e IR'!$J$8)-'Tabelas INSS e IR'!$K$8))))</f>
        <v>38.602660000000014</v>
      </c>
      <c r="AB50" s="294">
        <f t="shared" si="14"/>
        <v>451.03871000000004</v>
      </c>
      <c r="AC50" s="154"/>
      <c r="AD50" s="141"/>
      <c r="AE50" s="147"/>
      <c r="AF50" s="297">
        <f t="shared" si="15"/>
        <v>785.13630999999998</v>
      </c>
      <c r="AG50" s="297">
        <f t="shared" si="16"/>
        <v>1748.8636899999997</v>
      </c>
    </row>
    <row r="51" spans="1:33" s="468" customFormat="1" ht="15" customHeight="1" x14ac:dyDescent="0.25">
      <c r="A51" s="104">
        <v>38</v>
      </c>
      <c r="B51" s="524" t="s">
        <v>232</v>
      </c>
      <c r="C51" s="164">
        <v>31197</v>
      </c>
      <c r="D51" s="109" t="s">
        <v>61</v>
      </c>
      <c r="E51" s="109" t="s">
        <v>233</v>
      </c>
      <c r="F51" s="104" t="s">
        <v>177</v>
      </c>
      <c r="G51" s="104" t="s">
        <v>178</v>
      </c>
      <c r="H51" s="104" t="s">
        <v>234</v>
      </c>
      <c r="I51" s="110" t="s">
        <v>235</v>
      </c>
      <c r="J51" s="104" t="s">
        <v>117</v>
      </c>
      <c r="K51" s="104" t="s">
        <v>236</v>
      </c>
      <c r="L51" s="246">
        <v>1.1499999999999999</v>
      </c>
      <c r="M51" s="132">
        <f t="shared" si="0"/>
        <v>2081.5</v>
      </c>
      <c r="N51" s="134"/>
      <c r="O51" s="133">
        <f t="shared" si="1"/>
        <v>2081.5</v>
      </c>
      <c r="P51" s="293">
        <f t="shared" si="10"/>
        <v>2081.5</v>
      </c>
      <c r="Q51" s="133">
        <f>IF(OR($G51="EST",$G51="EFE"),0,IF($P51&gt;='Tabelas INSS e IR'!$B$8,'Tabelas INSS e IR'!$D$8,IF($P51&gt;='Tabelas INSS e IR'!$B$7,($P51*'Tabelas INSS e IR'!$D$7)-'Tabelas INSS e IR'!$E$7,IF($P51&gt;='Tabelas INSS e IR'!$B$6,($P51*'Tabelas INSS e IR'!$D$6)-'Tabelas INSS e IR'!$E$6,IF($P51&gt;='Tabelas INSS e IR'!$B$5,($P51*'Tabelas INSS e IR'!$D$5)-'Tabelas INSS e IR'!$E$5,$P51*'Tabelas INSS e IR'!$D$4)))))</f>
        <v>0</v>
      </c>
      <c r="R51" s="133">
        <f>IF(OR($G51="EST",$G51="EFE"),0,IF($N51&gt;='Tabelas INSS e IR'!$B$8,'Tabelas INSS e IR'!$D$8,IF($N51&gt;='Tabelas INSS e IR'!$B$7,($N51*'Tabelas INSS e IR'!$D$7)-'Tabelas INSS e IR'!$E$7,IF($N51&gt;='Tabelas INSS e IR'!$B$6,($N51*'Tabelas INSS e IR'!$D$6)-'Tabelas INSS e IR'!$E$6,IF($N51&gt;='Tabelas INSS e IR'!$B$5,($N51*'Tabelas INSS e IR'!$D$5)-'Tabelas INSS e IR'!$E$5,$N51*'Tabelas INSS e IR'!$D$4)))))</f>
        <v>0</v>
      </c>
      <c r="S51" s="132"/>
      <c r="T51" s="294">
        <f>(IF(OR($G51="EST",$G51="EFE"),0,IF((Q51+S51)&gt;'Tabelas INSS e IR'!$D$8,'Tabelas INSS e IR'!$D$8-(S51+R51),(Q51-R51))))</f>
        <v>0</v>
      </c>
      <c r="U51" s="392">
        <v>3639.43</v>
      </c>
      <c r="V51" s="137"/>
      <c r="W51" s="247">
        <f t="shared" si="11"/>
        <v>3639.43</v>
      </c>
      <c r="X51" s="291">
        <f t="shared" si="12"/>
        <v>2081.5</v>
      </c>
      <c r="Y51" s="133">
        <f t="shared" si="13"/>
        <v>5720.93</v>
      </c>
      <c r="Z51" s="133">
        <f>IF($Y51&lt;'Tabelas INSS e IR'!$H$5,0,IF($Y51&lt;'Tabelas INSS e IR'!$H$6,($Y51*'Tabelas INSS e IR'!$J$5)-'Tabelas INSS e IR'!$K$5,IF($Y51&lt;'Tabelas INSS e IR'!$H$7,($Y51*'Tabelas INSS e IR'!$J$6)-'Tabelas INSS e IR'!$K$6,IF($Y51&lt;'Tabelas INSS e IR'!$H$8,($Y51*'Tabelas INSS e IR'!$J$7)-'Tabelas INSS e IR'!$K$7,($Y51*'Tabelas INSS e IR'!$J$8)-'Tabelas INSS e IR'!$K$8))))</f>
        <v>664.52575000000024</v>
      </c>
      <c r="AA51" s="133">
        <f>IF($W51&lt;'Tabelas INSS e IR'!$H$5,0,IF($W51&lt;'Tabelas INSS e IR'!$H$6,($W51*'Tabelas INSS e IR'!$J$5)-'Tabelas INSS e IR'!$K$5,IF($W51&lt;'Tabelas INSS e IR'!$H$7,($W51*'Tabelas INSS e IR'!$J$6)-'Tabelas INSS e IR'!$K$6,IF($W51&lt;'Tabelas INSS e IR'!$H$8,($W51*'Tabelas INSS e IR'!$J$7)-'Tabelas INSS e IR'!$K$7,($W51*'Tabelas INSS e IR'!$J$8)-'Tabelas INSS e IR'!$K$8))))</f>
        <v>151.75449999999995</v>
      </c>
      <c r="AB51" s="294">
        <f t="shared" si="14"/>
        <v>512.77125000000024</v>
      </c>
      <c r="AC51" s="154"/>
      <c r="AD51" s="141"/>
      <c r="AE51" s="147"/>
      <c r="AF51" s="297">
        <f t="shared" si="15"/>
        <v>512.77125000000024</v>
      </c>
      <c r="AG51" s="297">
        <f t="shared" si="16"/>
        <v>1568.7287499999998</v>
      </c>
    </row>
    <row r="52" spans="1:33" s="468" customFormat="1" ht="15" customHeight="1" x14ac:dyDescent="0.25">
      <c r="A52" s="103">
        <v>39</v>
      </c>
      <c r="B52" s="533" t="s">
        <v>237</v>
      </c>
      <c r="C52" s="135">
        <v>43313</v>
      </c>
      <c r="D52" s="105" t="s">
        <v>107</v>
      </c>
      <c r="E52" s="104" t="s">
        <v>219</v>
      </c>
      <c r="F52" s="104" t="s">
        <v>63</v>
      </c>
      <c r="G52" s="104" t="s">
        <v>64</v>
      </c>
      <c r="H52" s="104" t="s">
        <v>238</v>
      </c>
      <c r="I52" s="110" t="s">
        <v>239</v>
      </c>
      <c r="J52" s="104" t="s">
        <v>157</v>
      </c>
      <c r="K52" s="104" t="s">
        <v>240</v>
      </c>
      <c r="L52" s="246">
        <v>0.8</v>
      </c>
      <c r="M52" s="132">
        <f t="shared" si="0"/>
        <v>1448</v>
      </c>
      <c r="N52" s="134"/>
      <c r="O52" s="133">
        <f t="shared" si="1"/>
        <v>1448</v>
      </c>
      <c r="P52" s="293">
        <f t="shared" si="10"/>
        <v>1448</v>
      </c>
      <c r="Q52" s="133">
        <f>IF(OR($G52="EST",$G52="EFE"),0,IF($P52&gt;='Tabelas INSS e IR'!$B$8,'Tabelas INSS e IR'!$D$8,IF($P52&gt;='Tabelas INSS e IR'!$B$7,($P52*'Tabelas INSS e IR'!$D$7)-'Tabelas INSS e IR'!$E$7,IF($P52&gt;='Tabelas INSS e IR'!$B$6,($P52*'Tabelas INSS e IR'!$D$6)-'Tabelas INSS e IR'!$E$6,IF($P52&gt;='Tabelas INSS e IR'!$B$5,($P52*'Tabelas INSS e IR'!$D$5)-'Tabelas INSS e IR'!$E$5,$P52*'Tabelas INSS e IR'!$D$4)))))</f>
        <v>108.59999999999998</v>
      </c>
      <c r="R52" s="133">
        <f>IF(OR($G52="EST",$G52="EFE"),0,IF($N52&gt;='Tabelas INSS e IR'!$B$8,'Tabelas INSS e IR'!$D$8,IF($N52&gt;='Tabelas INSS e IR'!$B$7,($N52*'Tabelas INSS e IR'!$D$7)-'Tabelas INSS e IR'!$E$7,IF($N52&gt;='Tabelas INSS e IR'!$B$6,($N52*'Tabelas INSS e IR'!$D$6)-'Tabelas INSS e IR'!$E$6,IF($N52&gt;='Tabelas INSS e IR'!$B$5,($N52*'Tabelas INSS e IR'!$D$5)-'Tabelas INSS e IR'!$E$5,$N52*'Tabelas INSS e IR'!$D$4)))))</f>
        <v>0</v>
      </c>
      <c r="S52" s="132"/>
      <c r="T52" s="294">
        <f>(IF(OR($G52="EST",$G52="EFE"),0,IF((Q52+S52)&gt;'Tabelas INSS e IR'!$D$8,'Tabelas INSS e IR'!$D$8-(S52+R52),(Q52-R52))))</f>
        <v>108.59999999999998</v>
      </c>
      <c r="U52" s="392">
        <f t="shared" si="9"/>
        <v>0</v>
      </c>
      <c r="V52" s="137"/>
      <c r="W52" s="247">
        <f t="shared" si="11"/>
        <v>0</v>
      </c>
      <c r="X52" s="291">
        <f t="shared" si="12"/>
        <v>1339.4</v>
      </c>
      <c r="Y52" s="133">
        <f t="shared" si="13"/>
        <v>1339.4</v>
      </c>
      <c r="Z52" s="133">
        <f>IF($Y52&lt;'Tabelas INSS e IR'!$H$5,0,IF($Y52&lt;'Tabelas INSS e IR'!$H$6,($Y52*'Tabelas INSS e IR'!$J$5)-'Tabelas INSS e IR'!$K$5,IF($Y52&lt;'Tabelas INSS e IR'!$H$7,($Y52*'Tabelas INSS e IR'!$J$6)-'Tabelas INSS e IR'!$K$6,IF($Y52&lt;'Tabelas INSS e IR'!$H$8,($Y52*'Tabelas INSS e IR'!$J$7)-'Tabelas INSS e IR'!$K$7,($Y52*'Tabelas INSS e IR'!$J$8)-'Tabelas INSS e IR'!$K$8))))</f>
        <v>0</v>
      </c>
      <c r="AA52" s="133">
        <f>IF($W52&lt;'Tabelas INSS e IR'!$H$5,0,IF($W52&lt;'Tabelas INSS e IR'!$H$6,($W52*'Tabelas INSS e IR'!$J$5)-'Tabelas INSS e IR'!$K$5,IF($W52&lt;'Tabelas INSS e IR'!$H$7,($W52*'Tabelas INSS e IR'!$J$6)-'Tabelas INSS e IR'!$K$6,IF($W52&lt;'Tabelas INSS e IR'!$H$8,($W52*'Tabelas INSS e IR'!$J$7)-'Tabelas INSS e IR'!$K$7,($W52*'Tabelas INSS e IR'!$J$8)-'Tabelas INSS e IR'!$K$8))))</f>
        <v>0</v>
      </c>
      <c r="AB52" s="294">
        <f t="shared" si="14"/>
        <v>0</v>
      </c>
      <c r="AC52" s="154"/>
      <c r="AD52" s="141"/>
      <c r="AE52" s="147"/>
      <c r="AF52" s="297">
        <f t="shared" si="15"/>
        <v>108.59999999999998</v>
      </c>
      <c r="AG52" s="297">
        <f t="shared" si="16"/>
        <v>1339.4</v>
      </c>
    </row>
    <row r="53" spans="1:33" s="468" customFormat="1" ht="15" customHeight="1" x14ac:dyDescent="0.25">
      <c r="A53" s="103">
        <v>40</v>
      </c>
      <c r="B53" s="524" t="s">
        <v>241</v>
      </c>
      <c r="C53" s="164">
        <v>33259</v>
      </c>
      <c r="D53" s="104" t="s">
        <v>61</v>
      </c>
      <c r="E53" s="109" t="s">
        <v>242</v>
      </c>
      <c r="F53" s="104" t="s">
        <v>177</v>
      </c>
      <c r="G53" s="104" t="s">
        <v>178</v>
      </c>
      <c r="H53" s="104">
        <v>329242</v>
      </c>
      <c r="I53" s="136" t="s">
        <v>243</v>
      </c>
      <c r="J53" s="104" t="s">
        <v>157</v>
      </c>
      <c r="K53" s="104" t="s">
        <v>244</v>
      </c>
      <c r="L53" s="246">
        <v>1.1499999999999999</v>
      </c>
      <c r="M53" s="132">
        <f t="shared" si="0"/>
        <v>2081.5</v>
      </c>
      <c r="N53" s="134"/>
      <c r="O53" s="133">
        <f t="shared" si="1"/>
        <v>2081.5</v>
      </c>
      <c r="P53" s="293">
        <f t="shared" si="10"/>
        <v>2081.5</v>
      </c>
      <c r="Q53" s="133">
        <f>IF(OR($G53="EST",$G53="EFE"),0,IF($P53&gt;='Tabelas INSS e IR'!$B$8,'Tabelas INSS e IR'!$D$8,IF($P53&gt;='Tabelas INSS e IR'!$B$7,($P53*'Tabelas INSS e IR'!$D$7)-'Tabelas INSS e IR'!$E$7,IF($P53&gt;='Tabelas INSS e IR'!$B$6,($P53*'Tabelas INSS e IR'!$D$6)-'Tabelas INSS e IR'!$E$6,IF($P53&gt;='Tabelas INSS e IR'!$B$5,($P53*'Tabelas INSS e IR'!$D$5)-'Tabelas INSS e IR'!$E$5,$P53*'Tabelas INSS e IR'!$D$4)))))</f>
        <v>0</v>
      </c>
      <c r="R53" s="133">
        <f>IF(OR($G53="EST",$G53="EFE"),0,IF($N53&gt;='Tabelas INSS e IR'!$B$8,'Tabelas INSS e IR'!$D$8,IF($N53&gt;='Tabelas INSS e IR'!$B$7,($N53*'Tabelas INSS e IR'!$D$7)-'Tabelas INSS e IR'!$E$7,IF($N53&gt;='Tabelas INSS e IR'!$B$6,($N53*'Tabelas INSS e IR'!$D$6)-'Tabelas INSS e IR'!$E$6,IF($N53&gt;='Tabelas INSS e IR'!$B$5,($N53*'Tabelas INSS e IR'!$D$5)-'Tabelas INSS e IR'!$E$5,$N53*'Tabelas INSS e IR'!$D$4)))))</f>
        <v>0</v>
      </c>
      <c r="S53" s="132"/>
      <c r="T53" s="294">
        <f>(IF(OR($G53="EST",$G53="EFE"),0,IF((Q53+S53)&gt;'Tabelas INSS e IR'!$D$8,'Tabelas INSS e IR'!$D$8-(S53+R53),(Q53-R53))))</f>
        <v>0</v>
      </c>
      <c r="U53" s="478">
        <v>1863.38</v>
      </c>
      <c r="V53" s="137"/>
      <c r="W53" s="247">
        <f t="shared" si="11"/>
        <v>1863.38</v>
      </c>
      <c r="X53" s="291">
        <f t="shared" si="12"/>
        <v>2081.5</v>
      </c>
      <c r="Y53" s="133">
        <f t="shared" si="13"/>
        <v>3944.88</v>
      </c>
      <c r="Z53" s="133">
        <f>IF($Y53&lt;'Tabelas INSS e IR'!$H$5,0,IF($Y53&lt;'Tabelas INSS e IR'!$H$6,($Y53*'Tabelas INSS e IR'!$J$5)-'Tabelas INSS e IR'!$K$5,IF($Y53&lt;'Tabelas INSS e IR'!$H$7,($Y53*'Tabelas INSS e IR'!$J$6)-'Tabelas INSS e IR'!$K$6,IF($Y53&lt;'Tabelas INSS e IR'!$H$8,($Y53*'Tabelas INSS e IR'!$J$7)-'Tabelas INSS e IR'!$K$7,($Y53*'Tabelas INSS e IR'!$J$8)-'Tabelas INSS e IR'!$K$8))))</f>
        <v>212.10800000000006</v>
      </c>
      <c r="AA53" s="133">
        <f>IF($W53&lt;'Tabelas INSS e IR'!$H$5,0,IF($W53&lt;'Tabelas INSS e IR'!$H$6,($W53*'Tabelas INSS e IR'!$J$5)-'Tabelas INSS e IR'!$K$5,IF($W53&lt;'Tabelas INSS e IR'!$H$7,($W53*'Tabelas INSS e IR'!$J$6)-'Tabelas INSS e IR'!$K$6,IF($W53&lt;'Tabelas INSS e IR'!$H$8,($W53*'Tabelas INSS e IR'!$J$7)-'Tabelas INSS e IR'!$K$7,($W53*'Tabelas INSS e IR'!$J$8)-'Tabelas INSS e IR'!$K$8))))</f>
        <v>0</v>
      </c>
      <c r="AB53" s="294">
        <f t="shared" si="14"/>
        <v>212.10800000000006</v>
      </c>
      <c r="AC53" s="154"/>
      <c r="AD53" s="141"/>
      <c r="AE53" s="147"/>
      <c r="AF53" s="297">
        <f t="shared" si="15"/>
        <v>212.10800000000006</v>
      </c>
      <c r="AG53" s="297">
        <f t="shared" si="16"/>
        <v>1869.3919999999998</v>
      </c>
    </row>
    <row r="54" spans="1:33" s="468" customFormat="1" ht="15" customHeight="1" x14ac:dyDescent="0.25">
      <c r="A54" s="103">
        <v>41</v>
      </c>
      <c r="B54" s="524" t="s">
        <v>245</v>
      </c>
      <c r="C54" s="164">
        <v>32275</v>
      </c>
      <c r="D54" s="109" t="s">
        <v>148</v>
      </c>
      <c r="E54" s="109" t="s">
        <v>246</v>
      </c>
      <c r="F54" s="104" t="s">
        <v>177</v>
      </c>
      <c r="G54" s="104" t="s">
        <v>178</v>
      </c>
      <c r="H54" s="104">
        <v>607541</v>
      </c>
      <c r="I54" s="136" t="s">
        <v>247</v>
      </c>
      <c r="J54" s="104" t="s">
        <v>203</v>
      </c>
      <c r="K54" s="104" t="s">
        <v>248</v>
      </c>
      <c r="L54" s="246">
        <v>1.1000000000000001</v>
      </c>
      <c r="M54" s="132">
        <f t="shared" si="0"/>
        <v>1991.0000000000002</v>
      </c>
      <c r="N54" s="134"/>
      <c r="O54" s="133">
        <f t="shared" si="1"/>
        <v>1991.0000000000002</v>
      </c>
      <c r="P54" s="293">
        <f t="shared" si="10"/>
        <v>1991.0000000000002</v>
      </c>
      <c r="Q54" s="133">
        <f>IF(OR($G54="EST",$G54="EFE"),0,IF($P54&gt;='Tabelas INSS e IR'!$B$8,'Tabelas INSS e IR'!$D$8,IF($P54&gt;='Tabelas INSS e IR'!$B$7,($P54*'Tabelas INSS e IR'!$D$7)-'Tabelas INSS e IR'!$E$7,IF($P54&gt;='Tabelas INSS e IR'!$B$6,($P54*'Tabelas INSS e IR'!$D$6)-'Tabelas INSS e IR'!$E$6,IF($P54&gt;='Tabelas INSS e IR'!$B$5,($P54*'Tabelas INSS e IR'!$D$5)-'Tabelas INSS e IR'!$E$5,$P54*'Tabelas INSS e IR'!$D$4)))))</f>
        <v>0</v>
      </c>
      <c r="R54" s="133">
        <f>IF(OR($G54="EST",$G54="EFE"),0,IF($N54&gt;='Tabelas INSS e IR'!$B$8,'Tabelas INSS e IR'!$D$8,IF($N54&gt;='Tabelas INSS e IR'!$B$7,($N54*'Tabelas INSS e IR'!$D$7)-'Tabelas INSS e IR'!$E$7,IF($N54&gt;='Tabelas INSS e IR'!$B$6,($N54*'Tabelas INSS e IR'!$D$6)-'Tabelas INSS e IR'!$E$6,IF($N54&gt;='Tabelas INSS e IR'!$B$5,($N54*'Tabelas INSS e IR'!$D$5)-'Tabelas INSS e IR'!$E$5,$N54*'Tabelas INSS e IR'!$D$4)))))</f>
        <v>0</v>
      </c>
      <c r="S54" s="132"/>
      <c r="T54" s="294">
        <f>(IF(OR($G54="EST",$G54="EFE"),0,IF((Q54+S54)&gt;'Tabelas INSS e IR'!$D$8,'Tabelas INSS e IR'!$D$8-(S54+R54),(Q54-R54))))</f>
        <v>0</v>
      </c>
      <c r="U54" s="392">
        <v>9267.39</v>
      </c>
      <c r="V54" s="137"/>
      <c r="W54" s="247">
        <f t="shared" si="11"/>
        <v>9267.39</v>
      </c>
      <c r="X54" s="291">
        <f t="shared" si="12"/>
        <v>1991.0000000000002</v>
      </c>
      <c r="Y54" s="133">
        <f t="shared" si="13"/>
        <v>11258.39</v>
      </c>
      <c r="Z54" s="133">
        <f>IF($Y54&lt;'Tabelas INSS e IR'!$H$5,0,IF($Y54&lt;'Tabelas INSS e IR'!$H$6,($Y54*'Tabelas INSS e IR'!$J$5)-'Tabelas INSS e IR'!$K$5,IF($Y54&lt;'Tabelas INSS e IR'!$H$7,($Y54*'Tabelas INSS e IR'!$J$6)-'Tabelas INSS e IR'!$K$6,IF($Y54&lt;'Tabelas INSS e IR'!$H$8,($Y54*'Tabelas INSS e IR'!$J$7)-'Tabelas INSS e IR'!$K$7,($Y54*'Tabelas INSS e IR'!$J$8)-'Tabelas INSS e IR'!$K$8))))</f>
        <v>2187.3272500000003</v>
      </c>
      <c r="AA54" s="133">
        <f>IF($W54&lt;'Tabelas INSS e IR'!$H$5,0,IF($W54&lt;'Tabelas INSS e IR'!$H$6,($W54*'Tabelas INSS e IR'!$J$5)-'Tabelas INSS e IR'!$K$5,IF($W54&lt;'Tabelas INSS e IR'!$H$7,($W54*'Tabelas INSS e IR'!$J$6)-'Tabelas INSS e IR'!$K$6,IF($W54&lt;'Tabelas INSS e IR'!$H$8,($W54*'Tabelas INSS e IR'!$J$7)-'Tabelas INSS e IR'!$K$7,($W54*'Tabelas INSS e IR'!$J$8)-'Tabelas INSS e IR'!$K$8))))</f>
        <v>1639.8022500000002</v>
      </c>
      <c r="AB54" s="294">
        <f t="shared" si="14"/>
        <v>547.52500000000009</v>
      </c>
      <c r="AC54" s="154"/>
      <c r="AD54" s="141"/>
      <c r="AE54" s="147"/>
      <c r="AF54" s="297">
        <f t="shared" si="15"/>
        <v>547.52500000000009</v>
      </c>
      <c r="AG54" s="297">
        <f t="shared" si="16"/>
        <v>1443.4750000000001</v>
      </c>
    </row>
    <row r="55" spans="1:33" s="468" customFormat="1" ht="15" customHeight="1" x14ac:dyDescent="0.25">
      <c r="A55" s="104">
        <v>42</v>
      </c>
      <c r="B55" s="532" t="s">
        <v>249</v>
      </c>
      <c r="C55" s="135">
        <v>34710</v>
      </c>
      <c r="D55" s="110" t="s">
        <v>120</v>
      </c>
      <c r="E55" s="110" t="s">
        <v>176</v>
      </c>
      <c r="F55" s="104" t="s">
        <v>177</v>
      </c>
      <c r="G55" s="104" t="s">
        <v>178</v>
      </c>
      <c r="H55" s="110">
        <v>883434</v>
      </c>
      <c r="I55" s="110" t="s">
        <v>250</v>
      </c>
      <c r="J55" s="110" t="s">
        <v>167</v>
      </c>
      <c r="K55" s="110" t="s">
        <v>251</v>
      </c>
      <c r="L55" s="246">
        <v>0.41</v>
      </c>
      <c r="M55" s="132">
        <f t="shared" si="0"/>
        <v>742.09999999999991</v>
      </c>
      <c r="N55" s="134"/>
      <c r="O55" s="133">
        <f t="shared" si="1"/>
        <v>742.09999999999991</v>
      </c>
      <c r="P55" s="293">
        <f t="shared" si="10"/>
        <v>742.09999999999991</v>
      </c>
      <c r="Q55" s="133">
        <f>IF(OR($G55="EST",$G55="EFE"),0,IF($P55&gt;='Tabelas INSS e IR'!$B$8,'Tabelas INSS e IR'!$D$8,IF($P55&gt;='Tabelas INSS e IR'!$B$7,($P55*'Tabelas INSS e IR'!$D$7)-'Tabelas INSS e IR'!$E$7,IF($P55&gt;='Tabelas INSS e IR'!$B$6,($P55*'Tabelas INSS e IR'!$D$6)-'Tabelas INSS e IR'!$E$6,IF($P55&gt;='Tabelas INSS e IR'!$B$5,($P55*'Tabelas INSS e IR'!$D$5)-'Tabelas INSS e IR'!$E$5,$P55*'Tabelas INSS e IR'!$D$4)))))</f>
        <v>0</v>
      </c>
      <c r="R55" s="133">
        <f>IF(OR($G55="EST",$G55="EFE"),0,IF($N55&gt;='Tabelas INSS e IR'!$B$8,'Tabelas INSS e IR'!$D$8,IF($N55&gt;='Tabelas INSS e IR'!$B$7,($N55*'Tabelas INSS e IR'!$D$7)-'Tabelas INSS e IR'!$E$7,IF($N55&gt;='Tabelas INSS e IR'!$B$6,($N55*'Tabelas INSS e IR'!$D$6)-'Tabelas INSS e IR'!$E$6,IF($N55&gt;='Tabelas INSS e IR'!$B$5,($N55*'Tabelas INSS e IR'!$D$5)-'Tabelas INSS e IR'!$E$5,$N55*'Tabelas INSS e IR'!$D$4)))))</f>
        <v>0</v>
      </c>
      <c r="S55" s="132"/>
      <c r="T55" s="294">
        <f>(IF(OR($G55="EST",$G55="EFE"),0,IF((Q55+S55)&gt;'Tabelas INSS e IR'!$D$8,'Tabelas INSS e IR'!$D$8-(S55+R55),(Q55-R55))))</f>
        <v>0</v>
      </c>
      <c r="U55" s="392">
        <v>3546.3</v>
      </c>
      <c r="V55" s="159"/>
      <c r="W55" s="247">
        <f t="shared" si="11"/>
        <v>3546.3</v>
      </c>
      <c r="X55" s="291">
        <f t="shared" si="12"/>
        <v>742.09999999999991</v>
      </c>
      <c r="Y55" s="133">
        <f t="shared" si="13"/>
        <v>4288.3999999999996</v>
      </c>
      <c r="Z55" s="133">
        <f>IF($Y55&lt;'Tabelas INSS e IR'!$H$5,0,IF($Y55&lt;'Tabelas INSS e IR'!$H$6,($Y55*'Tabelas INSS e IR'!$J$5)-'Tabelas INSS e IR'!$K$5,IF($Y55&lt;'Tabelas INSS e IR'!$H$7,($Y55*'Tabelas INSS e IR'!$J$6)-'Tabelas INSS e IR'!$K$6,IF($Y55&lt;'Tabelas INSS e IR'!$H$8,($Y55*'Tabelas INSS e IR'!$J$7)-'Tabelas INSS e IR'!$K$7,($Y55*'Tabelas INSS e IR'!$J$8)-'Tabelas INSS e IR'!$K$8))))</f>
        <v>289.39999999999998</v>
      </c>
      <c r="AA55" s="133">
        <f>IF($W55&lt;'Tabelas INSS e IR'!$H$5,0,IF($W55&lt;'Tabelas INSS e IR'!$H$6,($W55*'Tabelas INSS e IR'!$J$5)-'Tabelas INSS e IR'!$K$5,IF($W55&lt;'Tabelas INSS e IR'!$H$7,($W55*'Tabelas INSS e IR'!$J$6)-'Tabelas INSS e IR'!$K$6,IF($W55&lt;'Tabelas INSS e IR'!$H$8,($W55*'Tabelas INSS e IR'!$J$7)-'Tabelas INSS e IR'!$K$7,($W55*'Tabelas INSS e IR'!$J$8)-'Tabelas INSS e IR'!$K$8))))</f>
        <v>137.78500000000003</v>
      </c>
      <c r="AB55" s="294">
        <f t="shared" si="14"/>
        <v>151.61499999999995</v>
      </c>
      <c r="AC55" s="154"/>
      <c r="AD55" s="141"/>
      <c r="AE55" s="147"/>
      <c r="AF55" s="297">
        <f t="shared" si="15"/>
        <v>151.61499999999995</v>
      </c>
      <c r="AG55" s="297">
        <f t="shared" si="16"/>
        <v>590.4849999999999</v>
      </c>
    </row>
    <row r="56" spans="1:33" s="468" customFormat="1" ht="15" customHeight="1" x14ac:dyDescent="0.25">
      <c r="A56" s="103">
        <v>43</v>
      </c>
      <c r="B56" s="403" t="s">
        <v>252</v>
      </c>
      <c r="C56" s="135">
        <v>39552</v>
      </c>
      <c r="D56" s="104" t="s">
        <v>191</v>
      </c>
      <c r="E56" s="104" t="s">
        <v>176</v>
      </c>
      <c r="F56" s="104" t="s">
        <v>177</v>
      </c>
      <c r="G56" s="104" t="s">
        <v>178</v>
      </c>
      <c r="H56" s="136">
        <v>1177999</v>
      </c>
      <c r="I56" s="110" t="s">
        <v>253</v>
      </c>
      <c r="J56" s="104" t="s">
        <v>254</v>
      </c>
      <c r="K56" s="104" t="s">
        <v>255</v>
      </c>
      <c r="L56" s="246">
        <v>1.5</v>
      </c>
      <c r="M56" s="132">
        <f t="shared" si="0"/>
        <v>2715</v>
      </c>
      <c r="N56" s="134"/>
      <c r="O56" s="133">
        <f t="shared" si="1"/>
        <v>2715</v>
      </c>
      <c r="P56" s="293">
        <f t="shared" si="10"/>
        <v>2715</v>
      </c>
      <c r="Q56" s="133">
        <f>IF(OR($G56="EST",$G56="EFE"),0,IF($P56&gt;='Tabelas INSS e IR'!$B$8,'Tabelas INSS e IR'!$D$8,IF($P56&gt;='Tabelas INSS e IR'!$B$7,($P56*'Tabelas INSS e IR'!$D$7)-'Tabelas INSS e IR'!$E$7,IF($P56&gt;='Tabelas INSS e IR'!$B$6,($P56*'Tabelas INSS e IR'!$D$6)-'Tabelas INSS e IR'!$E$6,IF($P56&gt;='Tabelas INSS e IR'!$B$5,($P56*'Tabelas INSS e IR'!$D$5)-'Tabelas INSS e IR'!$E$5,$P56*'Tabelas INSS e IR'!$D$4)))))</f>
        <v>0</v>
      </c>
      <c r="R56" s="133">
        <f>IF(OR($G56="EST",$G56="EFE"),0,IF($N56&gt;='Tabelas INSS e IR'!$B$8,'Tabelas INSS e IR'!$D$8,IF($N56&gt;='Tabelas INSS e IR'!$B$7,($N56*'Tabelas INSS e IR'!$D$7)-'Tabelas INSS e IR'!$E$7,IF($N56&gt;='Tabelas INSS e IR'!$B$6,($N56*'Tabelas INSS e IR'!$D$6)-'Tabelas INSS e IR'!$E$6,IF($N56&gt;='Tabelas INSS e IR'!$B$5,($N56*'Tabelas INSS e IR'!$D$5)-'Tabelas INSS e IR'!$E$5,$N56*'Tabelas INSS e IR'!$D$4)))))</f>
        <v>0</v>
      </c>
      <c r="S56" s="132"/>
      <c r="T56" s="294">
        <f>(IF(OR($G56="EST",$G56="EFE"),0,IF((Q56+S56)&gt;'Tabelas INSS e IR'!$D$8,'Tabelas INSS e IR'!$D$8-(S56+R56),(Q56-R56))))</f>
        <v>0</v>
      </c>
      <c r="U56" s="518">
        <v>2131.1999999999998</v>
      </c>
      <c r="V56" s="159"/>
      <c r="W56" s="247">
        <f t="shared" si="11"/>
        <v>2131.1999999999998</v>
      </c>
      <c r="X56" s="291">
        <f t="shared" si="12"/>
        <v>2715</v>
      </c>
      <c r="Y56" s="133">
        <f t="shared" si="13"/>
        <v>4846.2</v>
      </c>
      <c r="Z56" s="133">
        <f>IF($Y56&lt;'Tabelas INSS e IR'!$H$5,0,IF($Y56&lt;'Tabelas INSS e IR'!$H$6,($Y56*'Tabelas INSS e IR'!$J$5)-'Tabelas INSS e IR'!$K$5,IF($Y56&lt;'Tabelas INSS e IR'!$H$7,($Y56*'Tabelas INSS e IR'!$J$6)-'Tabelas INSS e IR'!$K$6,IF($Y56&lt;'Tabelas INSS e IR'!$H$8,($Y56*'Tabelas INSS e IR'!$J$7)-'Tabelas INSS e IR'!$K$7,($Y56*'Tabelas INSS e IR'!$J$8)-'Tabelas INSS e IR'!$K$8))))</f>
        <v>423.97500000000014</v>
      </c>
      <c r="AA56" s="133">
        <f>IF($W56&lt;'Tabelas INSS e IR'!$H$5,0,IF($W56&lt;'Tabelas INSS e IR'!$H$6,($W56*'Tabelas INSS e IR'!$J$5)-'Tabelas INSS e IR'!$K$5,IF($W56&lt;'Tabelas INSS e IR'!$H$7,($W56*'Tabelas INSS e IR'!$J$6)-'Tabelas INSS e IR'!$K$6,IF($W56&lt;'Tabelas INSS e IR'!$H$8,($W56*'Tabelas INSS e IR'!$J$7)-'Tabelas INSS e IR'!$K$7,($W56*'Tabelas INSS e IR'!$J$8)-'Tabelas INSS e IR'!$K$8))))</f>
        <v>0</v>
      </c>
      <c r="AB56" s="294">
        <f t="shared" si="14"/>
        <v>423.97500000000014</v>
      </c>
      <c r="AC56" s="154"/>
      <c r="AD56" s="141"/>
      <c r="AE56" s="147"/>
      <c r="AF56" s="297">
        <f t="shared" si="15"/>
        <v>423.97500000000014</v>
      </c>
      <c r="AG56" s="297">
        <f t="shared" si="16"/>
        <v>2291.0249999999996</v>
      </c>
    </row>
    <row r="57" spans="1:33" s="468" customFormat="1" ht="15" customHeight="1" x14ac:dyDescent="0.25">
      <c r="A57" s="103">
        <v>44</v>
      </c>
      <c r="B57" s="403" t="s">
        <v>256</v>
      </c>
      <c r="C57" s="135">
        <v>31579</v>
      </c>
      <c r="D57" s="104" t="s">
        <v>133</v>
      </c>
      <c r="E57" s="104" t="s">
        <v>176</v>
      </c>
      <c r="F57" s="104" t="s">
        <v>177</v>
      </c>
      <c r="G57" s="104" t="s">
        <v>178</v>
      </c>
      <c r="H57" s="104" t="s">
        <v>257</v>
      </c>
      <c r="I57" s="148" t="s">
        <v>258</v>
      </c>
      <c r="J57" s="104" t="s">
        <v>84</v>
      </c>
      <c r="K57" s="104" t="s">
        <v>259</v>
      </c>
      <c r="L57" s="246">
        <v>0.65</v>
      </c>
      <c r="M57" s="132">
        <f t="shared" si="0"/>
        <v>1176.5</v>
      </c>
      <c r="N57" s="134"/>
      <c r="O57" s="133">
        <f t="shared" si="1"/>
        <v>1176.5</v>
      </c>
      <c r="P57" s="293">
        <f t="shared" si="10"/>
        <v>1176.5</v>
      </c>
      <c r="Q57" s="133">
        <f>IF(OR($G57="EST",$G57="EFE"),0,IF($P57&gt;='Tabelas INSS e IR'!$B$8,'Tabelas INSS e IR'!$D$8,IF($P57&gt;='Tabelas INSS e IR'!$B$7,($P57*'Tabelas INSS e IR'!$D$7)-'Tabelas INSS e IR'!$E$7,IF($P57&gt;='Tabelas INSS e IR'!$B$6,($P57*'Tabelas INSS e IR'!$D$6)-'Tabelas INSS e IR'!$E$6,IF($P57&gt;='Tabelas INSS e IR'!$B$5,($P57*'Tabelas INSS e IR'!$D$5)-'Tabelas INSS e IR'!$E$5,$P57*'Tabelas INSS e IR'!$D$4)))))</f>
        <v>0</v>
      </c>
      <c r="R57" s="133">
        <f>IF(OR($G57="EST",$G57="EFE"),0,IF($N57&gt;='Tabelas INSS e IR'!$B$8,'Tabelas INSS e IR'!$D$8,IF($N57&gt;='Tabelas INSS e IR'!$B$7,($N57*'Tabelas INSS e IR'!$D$7)-'Tabelas INSS e IR'!$E$7,IF($N57&gt;='Tabelas INSS e IR'!$B$6,($N57*'Tabelas INSS e IR'!$D$6)-'Tabelas INSS e IR'!$E$6,IF($N57&gt;='Tabelas INSS e IR'!$B$5,($N57*'Tabelas INSS e IR'!$D$5)-'Tabelas INSS e IR'!$E$5,$N57*'Tabelas INSS e IR'!$D$4)))))</f>
        <v>0</v>
      </c>
      <c r="S57" s="132"/>
      <c r="T57" s="294">
        <f>(IF(OR($G57="EST",$G57="EFE"),0,IF((Q57+S57)&gt;'Tabelas INSS e IR'!$D$8,'Tabelas INSS e IR'!$D$8-(S57+R57),(Q57-R57))))</f>
        <v>0</v>
      </c>
      <c r="U57" s="392">
        <v>5550.92</v>
      </c>
      <c r="V57" s="159"/>
      <c r="W57" s="247">
        <f t="shared" si="11"/>
        <v>5550.92</v>
      </c>
      <c r="X57" s="291">
        <f t="shared" si="12"/>
        <v>1176.5</v>
      </c>
      <c r="Y57" s="133">
        <f t="shared" si="13"/>
        <v>6727.42</v>
      </c>
      <c r="Z57" s="133">
        <f>IF($Y57&lt;'Tabelas INSS e IR'!$H$5,0,IF($Y57&lt;'Tabelas INSS e IR'!$H$6,($Y57*'Tabelas INSS e IR'!$J$5)-'Tabelas INSS e IR'!$K$5,IF($Y57&lt;'Tabelas INSS e IR'!$H$7,($Y57*'Tabelas INSS e IR'!$J$6)-'Tabelas INSS e IR'!$K$6,IF($Y57&lt;'Tabelas INSS e IR'!$H$8,($Y57*'Tabelas INSS e IR'!$J$7)-'Tabelas INSS e IR'!$K$7,($Y57*'Tabelas INSS e IR'!$J$8)-'Tabelas INSS e IR'!$K$8))))</f>
        <v>941.31050000000005</v>
      </c>
      <c r="AA57" s="133">
        <f>IF($W57&lt;'Tabelas INSS e IR'!$H$5,0,IF($W57&lt;'Tabelas INSS e IR'!$H$6,($W57*'Tabelas INSS e IR'!$J$5)-'Tabelas INSS e IR'!$K$5,IF($W57&lt;'Tabelas INSS e IR'!$H$7,($W57*'Tabelas INSS e IR'!$J$6)-'Tabelas INSS e IR'!$K$6,IF($W57&lt;'Tabelas INSS e IR'!$H$8,($W57*'Tabelas INSS e IR'!$J$7)-'Tabelas INSS e IR'!$K$7,($W57*'Tabelas INSS e IR'!$J$8)-'Tabelas INSS e IR'!$K$8))))</f>
        <v>617.77300000000014</v>
      </c>
      <c r="AB57" s="294">
        <f t="shared" si="14"/>
        <v>323.53749999999991</v>
      </c>
      <c r="AC57" s="154"/>
      <c r="AD57" s="141"/>
      <c r="AE57" s="147"/>
      <c r="AF57" s="297">
        <f t="shared" si="15"/>
        <v>323.53749999999991</v>
      </c>
      <c r="AG57" s="297">
        <f t="shared" si="16"/>
        <v>852.96250000000009</v>
      </c>
    </row>
    <row r="58" spans="1:33" s="470" customFormat="1" ht="15" customHeight="1" x14ac:dyDescent="0.25">
      <c r="A58" s="103">
        <v>45</v>
      </c>
      <c r="B58" s="526" t="s">
        <v>542</v>
      </c>
      <c r="C58" s="135"/>
      <c r="D58" s="104" t="s">
        <v>148</v>
      </c>
      <c r="E58" s="104" t="s">
        <v>219</v>
      </c>
      <c r="F58" s="104" t="s">
        <v>63</v>
      </c>
      <c r="G58" s="104" t="s">
        <v>64</v>
      </c>
      <c r="H58" s="136">
        <v>33777179</v>
      </c>
      <c r="I58" s="148" t="s">
        <v>560</v>
      </c>
      <c r="J58" s="405" t="s">
        <v>543</v>
      </c>
      <c r="K58" s="405" t="s">
        <v>544</v>
      </c>
      <c r="L58" s="246">
        <v>0.75</v>
      </c>
      <c r="M58" s="132">
        <f t="shared" si="0"/>
        <v>1357.5</v>
      </c>
      <c r="N58" s="134"/>
      <c r="O58" s="133">
        <f t="shared" si="1"/>
        <v>1357.5</v>
      </c>
      <c r="P58" s="293">
        <f t="shared" si="10"/>
        <v>1357.5</v>
      </c>
      <c r="Q58" s="133">
        <f>IF(OR($G58="EST",$G58="EFE"),0,IF($P58&gt;='Tabelas INSS e IR'!$B$8,'Tabelas INSS e IR'!$D$8,IF($P58&gt;='Tabelas INSS e IR'!$B$7,($P58*'Tabelas INSS e IR'!$D$7)-'Tabelas INSS e IR'!$E$7,IF($P58&gt;='Tabelas INSS e IR'!$B$6,($P58*'Tabelas INSS e IR'!$D$6)-'Tabelas INSS e IR'!$E$6,IF($P58&gt;='Tabelas INSS e IR'!$B$5,($P58*'Tabelas INSS e IR'!$D$5)-'Tabelas INSS e IR'!$E$5,$P58*'Tabelas INSS e IR'!$D$4)))))</f>
        <v>101.81249999999997</v>
      </c>
      <c r="R58" s="133">
        <f>IF(OR($G58="EST",$G58="EFE"),0,IF($N58&gt;='Tabelas INSS e IR'!$B$8,'Tabelas INSS e IR'!$D$8,IF($N58&gt;='Tabelas INSS e IR'!$B$7,($N58*'Tabelas INSS e IR'!$D$7)-'Tabelas INSS e IR'!$E$7,IF($N58&gt;='Tabelas INSS e IR'!$B$6,($N58*'Tabelas INSS e IR'!$D$6)-'Tabelas INSS e IR'!$E$6,IF($N58&gt;='Tabelas INSS e IR'!$B$5,($N58*'Tabelas INSS e IR'!$D$5)-'Tabelas INSS e IR'!$E$5,$N58*'Tabelas INSS e IR'!$D$4)))))</f>
        <v>0</v>
      </c>
      <c r="S58" s="132"/>
      <c r="T58" s="294">
        <f>(IF(OR($G58="EST",$G58="EFE"),0,IF((Q58+S58)&gt;'Tabelas INSS e IR'!$D$8,'Tabelas INSS e IR'!$D$8-(S58+R58),(Q58-R58))))</f>
        <v>101.81249999999997</v>
      </c>
      <c r="U58" s="392">
        <f t="shared" si="9"/>
        <v>0</v>
      </c>
      <c r="V58" s="159"/>
      <c r="W58" s="247">
        <f>U58-V58</f>
        <v>0</v>
      </c>
      <c r="X58" s="291">
        <f>O58-T58</f>
        <v>1255.6875</v>
      </c>
      <c r="Y58" s="133">
        <f>W58+X58</f>
        <v>1255.6875</v>
      </c>
      <c r="Z58" s="133">
        <f>IF($Y58&lt;'Tabelas INSS e IR'!$H$5,0,IF($Y58&lt;'Tabelas INSS e IR'!$H$6,($Y58*'Tabelas INSS e IR'!$J$5)-'Tabelas INSS e IR'!$K$5,IF($Y58&lt;'Tabelas INSS e IR'!$H$7,($Y58*'Tabelas INSS e IR'!$J$6)-'Tabelas INSS e IR'!$K$6,IF($Y58&lt;'Tabelas INSS e IR'!$H$8,($Y58*'Tabelas INSS e IR'!$J$7)-'Tabelas INSS e IR'!$K$7,($Y58*'Tabelas INSS e IR'!$J$8)-'Tabelas INSS e IR'!$K$8))))</f>
        <v>0</v>
      </c>
      <c r="AA58" s="133">
        <f>IF($W58&lt;'Tabelas INSS e IR'!$H$5,0,IF($W58&lt;'Tabelas INSS e IR'!$H$6,($W58*'Tabelas INSS e IR'!$J$5)-'Tabelas INSS e IR'!$K$5,IF($W58&lt;'Tabelas INSS e IR'!$H$7,($W58*'Tabelas INSS e IR'!$J$6)-'Tabelas INSS e IR'!$K$6,IF($W58&lt;'Tabelas INSS e IR'!$H$8,($W58*'Tabelas INSS e IR'!$J$7)-'Tabelas INSS e IR'!$K$7,($W58*'Tabelas INSS e IR'!$J$8)-'Tabelas INSS e IR'!$K$8))))</f>
        <v>0</v>
      </c>
      <c r="AB58" s="294">
        <f>Z58-AA58</f>
        <v>0</v>
      </c>
      <c r="AC58" s="154"/>
      <c r="AD58" s="141"/>
      <c r="AE58" s="147"/>
      <c r="AF58" s="297">
        <f>T58+AB58+AC58</f>
        <v>101.81249999999997</v>
      </c>
      <c r="AG58" s="297">
        <f>O58-AF58</f>
        <v>1255.6875</v>
      </c>
    </row>
    <row r="59" spans="1:33" s="468" customFormat="1" ht="15" customHeight="1" x14ac:dyDescent="0.25">
      <c r="A59" s="104">
        <v>46</v>
      </c>
      <c r="B59" s="519"/>
      <c r="C59" s="135"/>
      <c r="D59" s="104"/>
      <c r="E59" s="104"/>
      <c r="F59" s="104"/>
      <c r="G59" s="104"/>
      <c r="H59" s="104"/>
      <c r="I59" s="110"/>
      <c r="J59" s="104"/>
      <c r="K59" s="104"/>
      <c r="L59" s="246"/>
      <c r="M59" s="132">
        <f t="shared" ref="M59:M90" si="17">$I$10*L59%</f>
        <v>0</v>
      </c>
      <c r="N59" s="509"/>
      <c r="O59" s="133">
        <f t="shared" ref="O59:O90" si="18">$I$10*L59%</f>
        <v>0</v>
      </c>
      <c r="P59" s="293">
        <f t="shared" si="10"/>
        <v>0</v>
      </c>
      <c r="Q59" s="133">
        <f>IF(OR($G59="EST",$G59="EFE"),0,IF($P59&gt;='Tabelas INSS e IR'!$B$8,'Tabelas INSS e IR'!$D$8,IF($P59&gt;='Tabelas INSS e IR'!$B$7,($P59*'Tabelas INSS e IR'!$D$7)-'Tabelas INSS e IR'!$E$7,IF($P59&gt;='Tabelas INSS e IR'!$B$6,($P59*'Tabelas INSS e IR'!$D$6)-'Tabelas INSS e IR'!$E$6,IF($P59&gt;='Tabelas INSS e IR'!$B$5,($P59*'Tabelas INSS e IR'!$D$5)-'Tabelas INSS e IR'!$E$5,$P59*'Tabelas INSS e IR'!$D$4)))))</f>
        <v>0</v>
      </c>
      <c r="R59" s="133">
        <f>IF(OR($G59="EST",$G59="EFE"),0,IF($N59&gt;='Tabelas INSS e IR'!$B$8,'Tabelas INSS e IR'!$D$8,IF($N59&gt;='Tabelas INSS e IR'!$B$7,($N59*'Tabelas INSS e IR'!$D$7)-'Tabelas INSS e IR'!$E$7,IF($N59&gt;='Tabelas INSS e IR'!$B$6,($N59*'Tabelas INSS e IR'!$D$6)-'Tabelas INSS e IR'!$E$6,IF($N59&gt;='Tabelas INSS e IR'!$B$5,($N59*'Tabelas INSS e IR'!$D$5)-'Tabelas INSS e IR'!$E$5,$N59*'Tabelas INSS e IR'!$D$4)))))</f>
        <v>0</v>
      </c>
      <c r="S59" s="132"/>
      <c r="T59" s="294">
        <f>(IF(OR($G59="EST",$G59="EFE"),0,IF((Q59+S59)&gt;'Tabelas INSS e IR'!$D$8,'Tabelas INSS e IR'!$D$8-(S59+R59),(Q59-R59))))</f>
        <v>0</v>
      </c>
      <c r="U59" s="392"/>
      <c r="V59" s="159"/>
      <c r="W59" s="247"/>
      <c r="X59" s="291">
        <f t="shared" si="12"/>
        <v>0</v>
      </c>
      <c r="Y59" s="133">
        <f t="shared" si="13"/>
        <v>0</v>
      </c>
      <c r="Z59" s="133">
        <f>IF($Y59&lt;'Tabelas INSS e IR'!$H$5,0,IF($Y59&lt;'Tabelas INSS e IR'!$H$6,($Y59*'Tabelas INSS e IR'!$J$5)-'Tabelas INSS e IR'!$K$5,IF($Y59&lt;'Tabelas INSS e IR'!$H$7,($Y59*'Tabelas INSS e IR'!$J$6)-'Tabelas INSS e IR'!$K$6,IF($Y59&lt;'Tabelas INSS e IR'!$H$8,($Y59*'Tabelas INSS e IR'!$J$7)-'Tabelas INSS e IR'!$K$7,($Y59*'Tabelas INSS e IR'!$J$8)-'Tabelas INSS e IR'!$K$8))))</f>
        <v>0</v>
      </c>
      <c r="AA59" s="133">
        <f>IF($W59&lt;'Tabelas INSS e IR'!$H$5,0,IF($W59&lt;'Tabelas INSS e IR'!$H$6,($W59*'Tabelas INSS e IR'!$J$5)-'Tabelas INSS e IR'!$K$5,IF($W59&lt;'Tabelas INSS e IR'!$H$7,($W59*'Tabelas INSS e IR'!$J$6)-'Tabelas INSS e IR'!$K$6,IF($W59&lt;'Tabelas INSS e IR'!$H$8,($W59*'Tabelas INSS e IR'!$J$7)-'Tabelas INSS e IR'!$K$7,($W59*'Tabelas INSS e IR'!$J$8)-'Tabelas INSS e IR'!$K$8))))</f>
        <v>0</v>
      </c>
      <c r="AB59" s="294">
        <f t="shared" si="14"/>
        <v>0</v>
      </c>
      <c r="AC59" s="154"/>
      <c r="AD59" s="141"/>
      <c r="AE59" s="147"/>
      <c r="AF59" s="297">
        <f t="shared" si="15"/>
        <v>0</v>
      </c>
      <c r="AG59" s="297">
        <f t="shared" si="16"/>
        <v>0</v>
      </c>
    </row>
    <row r="60" spans="1:33" s="471" customFormat="1" ht="15" customHeight="1" x14ac:dyDescent="0.2">
      <c r="A60" s="103">
        <v>47</v>
      </c>
      <c r="B60" s="403" t="s">
        <v>260</v>
      </c>
      <c r="C60" s="135">
        <v>39785</v>
      </c>
      <c r="D60" s="383" t="s">
        <v>61</v>
      </c>
      <c r="E60" s="104" t="s">
        <v>176</v>
      </c>
      <c r="F60" s="104" t="s">
        <v>177</v>
      </c>
      <c r="G60" s="104" t="s">
        <v>178</v>
      </c>
      <c r="H60" s="104">
        <v>1362708</v>
      </c>
      <c r="I60" s="110" t="s">
        <v>261</v>
      </c>
      <c r="J60" s="104" t="s">
        <v>104</v>
      </c>
      <c r="K60" s="104" t="s">
        <v>262</v>
      </c>
      <c r="L60" s="312">
        <v>1.5</v>
      </c>
      <c r="M60" s="132">
        <f t="shared" si="17"/>
        <v>2715</v>
      </c>
      <c r="N60" s="134"/>
      <c r="O60" s="133">
        <f t="shared" si="18"/>
        <v>2715</v>
      </c>
      <c r="P60" s="293">
        <f t="shared" si="10"/>
        <v>2715</v>
      </c>
      <c r="Q60" s="133">
        <f>IF(OR($G60="EST",$G60="EFE"),0,IF($P60&gt;='Tabelas INSS e IR'!$B$8,'Tabelas INSS e IR'!$D$8,IF($P60&gt;='Tabelas INSS e IR'!$B$7,($P60*'Tabelas INSS e IR'!$D$7)-'Tabelas INSS e IR'!$E$7,IF($P60&gt;='Tabelas INSS e IR'!$B$6,($P60*'Tabelas INSS e IR'!$D$6)-'Tabelas INSS e IR'!$E$6,IF($P60&gt;='Tabelas INSS e IR'!$B$5,($P60*'Tabelas INSS e IR'!$D$5)-'Tabelas INSS e IR'!$E$5,$P60*'Tabelas INSS e IR'!$D$4)))))</f>
        <v>0</v>
      </c>
      <c r="R60" s="133">
        <f>IF(OR($G60="EST",$G60="EFE"),0,IF($N60&gt;='Tabelas INSS e IR'!$B$8,'Tabelas INSS e IR'!$D$8,IF($N60&gt;='Tabelas INSS e IR'!$B$7,($N60*'Tabelas INSS e IR'!$D$7)-'Tabelas INSS e IR'!$E$7,IF($N60&gt;='Tabelas INSS e IR'!$B$6,($N60*'Tabelas INSS e IR'!$D$6)-'Tabelas INSS e IR'!$E$6,IF($N60&gt;='Tabelas INSS e IR'!$B$5,($N60*'Tabelas INSS e IR'!$D$5)-'Tabelas INSS e IR'!$E$5,$N60*'Tabelas INSS e IR'!$D$4)))))</f>
        <v>0</v>
      </c>
      <c r="S60" s="132"/>
      <c r="T60" s="294">
        <f>(IF(OR($G60="EST",$G60="EFE"),0,IF((Q60+S60)&gt;'Tabelas INSS e IR'!$D$8,'Tabelas INSS e IR'!$D$8-(S60+R60),(Q60-R60))))</f>
        <v>0</v>
      </c>
      <c r="U60" s="392">
        <v>4007.41</v>
      </c>
      <c r="V60" s="163"/>
      <c r="W60" s="247">
        <f t="shared" si="11"/>
        <v>4007.41</v>
      </c>
      <c r="X60" s="291">
        <f t="shared" si="12"/>
        <v>2715</v>
      </c>
      <c r="Y60" s="133">
        <f t="shared" si="13"/>
        <v>6722.41</v>
      </c>
      <c r="Z60" s="133">
        <f>IF($Y60&lt;'Tabelas INSS e IR'!$H$5,0,IF($Y60&lt;'Tabelas INSS e IR'!$H$6,($Y60*'Tabelas INSS e IR'!$J$5)-'Tabelas INSS e IR'!$K$5,IF($Y60&lt;'Tabelas INSS e IR'!$H$7,($Y60*'Tabelas INSS e IR'!$J$6)-'Tabelas INSS e IR'!$K$6,IF($Y60&lt;'Tabelas INSS e IR'!$H$8,($Y60*'Tabelas INSS e IR'!$J$7)-'Tabelas INSS e IR'!$K$7,($Y60*'Tabelas INSS e IR'!$J$8)-'Tabelas INSS e IR'!$K$8))))</f>
        <v>939.93275000000017</v>
      </c>
      <c r="AA60" s="133">
        <f>IF($W60&lt;'Tabelas INSS e IR'!$H$5,0,IF($W60&lt;'Tabelas INSS e IR'!$H$6,($W60*'Tabelas INSS e IR'!$J$5)-'Tabelas INSS e IR'!$K$5,IF($W60&lt;'Tabelas INSS e IR'!$H$7,($W60*'Tabelas INSS e IR'!$J$6)-'Tabelas INSS e IR'!$K$6,IF($W60&lt;'Tabelas INSS e IR'!$H$8,($W60*'Tabelas INSS e IR'!$J$7)-'Tabelas INSS e IR'!$K$7,($W60*'Tabelas INSS e IR'!$J$8)-'Tabelas INSS e IR'!$K$8))))</f>
        <v>226.17724999999996</v>
      </c>
      <c r="AB60" s="294">
        <f t="shared" si="14"/>
        <v>713.75550000000021</v>
      </c>
      <c r="AC60" s="160"/>
      <c r="AD60" s="141"/>
      <c r="AE60" s="161"/>
      <c r="AF60" s="297">
        <f t="shared" si="15"/>
        <v>713.75550000000021</v>
      </c>
      <c r="AG60" s="297">
        <f t="shared" si="16"/>
        <v>2001.2444999999998</v>
      </c>
    </row>
    <row r="61" spans="1:33" s="472" customFormat="1" ht="15" customHeight="1" x14ac:dyDescent="0.25">
      <c r="A61" s="103">
        <v>48</v>
      </c>
      <c r="B61" s="403" t="s">
        <v>263</v>
      </c>
      <c r="C61" s="135">
        <v>27856</v>
      </c>
      <c r="D61" s="104" t="s">
        <v>264</v>
      </c>
      <c r="E61" s="104" t="s">
        <v>265</v>
      </c>
      <c r="F61" s="104" t="s">
        <v>266</v>
      </c>
      <c r="G61" s="104" t="s">
        <v>267</v>
      </c>
      <c r="H61" s="104" t="s">
        <v>268</v>
      </c>
      <c r="I61" s="104" t="s">
        <v>269</v>
      </c>
      <c r="J61" s="104" t="s">
        <v>84</v>
      </c>
      <c r="K61" s="104" t="s">
        <v>270</v>
      </c>
      <c r="L61" s="246">
        <v>1.5</v>
      </c>
      <c r="M61" s="132">
        <f t="shared" si="17"/>
        <v>2715</v>
      </c>
      <c r="N61" s="165"/>
      <c r="O61" s="133">
        <f t="shared" si="18"/>
        <v>2715</v>
      </c>
      <c r="P61" s="293">
        <f t="shared" si="10"/>
        <v>2715</v>
      </c>
      <c r="Q61" s="133">
        <f>IF(OR($G61="EST",$G61="EFE"),0,IF($P61&gt;='Tabelas INSS e IR'!$B$8,'Tabelas INSS e IR'!$D$8,IF($P61&gt;='Tabelas INSS e IR'!$B$7,($P61*'Tabelas INSS e IR'!$D$7)-'Tabelas INSS e IR'!$E$7,IF($P61&gt;='Tabelas INSS e IR'!$B$6,($P61*'Tabelas INSS e IR'!$D$6)-'Tabelas INSS e IR'!$E$6,IF($P61&gt;='Tabelas INSS e IR'!$B$5,($P61*'Tabelas INSS e IR'!$D$5)-'Tabelas INSS e IR'!$E$5,$P61*'Tabelas INSS e IR'!$D$4)))))</f>
        <v>0</v>
      </c>
      <c r="R61" s="133">
        <f>IF(OR($G61="EST",$G61="EFE"),0,IF($N61&gt;='Tabelas INSS e IR'!$B$8,'Tabelas INSS e IR'!$D$8,IF($N61&gt;='Tabelas INSS e IR'!$B$7,($N61*'Tabelas INSS e IR'!$D$7)-'Tabelas INSS e IR'!$E$7,IF($N61&gt;='Tabelas INSS e IR'!$B$6,($N61*'Tabelas INSS e IR'!$D$6)-'Tabelas INSS e IR'!$E$6,IF($N61&gt;='Tabelas INSS e IR'!$B$5,($N61*'Tabelas INSS e IR'!$D$5)-'Tabelas INSS e IR'!$E$5,$N61*'Tabelas INSS e IR'!$D$4)))))</f>
        <v>0</v>
      </c>
      <c r="S61" s="132"/>
      <c r="T61" s="294">
        <f>(IF(OR($G61="EST",$G61="EFE"),0,IF((Q61+S61)&gt;'Tabelas INSS e IR'!$D$8,'Tabelas INSS e IR'!$D$8-(S61+R61),(Q61-R61))))</f>
        <v>0</v>
      </c>
      <c r="U61" s="392">
        <v>4854.99</v>
      </c>
      <c r="V61" s="159"/>
      <c r="W61" s="247">
        <f t="shared" si="11"/>
        <v>4854.99</v>
      </c>
      <c r="X61" s="291">
        <f t="shared" si="12"/>
        <v>2715</v>
      </c>
      <c r="Y61" s="133">
        <f t="shared" si="13"/>
        <v>7569.99</v>
      </c>
      <c r="Z61" s="133">
        <f>IF($Y61&lt;'Tabelas INSS e IR'!$H$5,0,IF($Y61&lt;'Tabelas INSS e IR'!$H$6,($Y61*'Tabelas INSS e IR'!$J$5)-'Tabelas INSS e IR'!$K$5,IF($Y61&lt;'Tabelas INSS e IR'!$H$7,($Y61*'Tabelas INSS e IR'!$J$6)-'Tabelas INSS e IR'!$K$6,IF($Y61&lt;'Tabelas INSS e IR'!$H$8,($Y61*'Tabelas INSS e IR'!$J$7)-'Tabelas INSS e IR'!$K$7,($Y61*'Tabelas INSS e IR'!$J$8)-'Tabelas INSS e IR'!$K$8))))</f>
        <v>1173.0172499999999</v>
      </c>
      <c r="AA61" s="133">
        <f>IF($W61&lt;'Tabelas INSS e IR'!$H$5,0,IF($W61&lt;'Tabelas INSS e IR'!$H$6,($W61*'Tabelas INSS e IR'!$J$5)-'Tabelas INSS e IR'!$K$5,IF($W61&lt;'Tabelas INSS e IR'!$H$7,($W61*'Tabelas INSS e IR'!$J$6)-'Tabelas INSS e IR'!$K$6,IF($W61&lt;'Tabelas INSS e IR'!$H$8,($W61*'Tabelas INSS e IR'!$J$7)-'Tabelas INSS e IR'!$K$7,($W61*'Tabelas INSS e IR'!$J$8)-'Tabelas INSS e IR'!$K$8))))</f>
        <v>426.3922500000001</v>
      </c>
      <c r="AB61" s="294">
        <f t="shared" si="14"/>
        <v>746.62499999999977</v>
      </c>
      <c r="AC61" s="154"/>
      <c r="AD61" s="166"/>
      <c r="AE61" s="167"/>
      <c r="AF61" s="297">
        <f t="shared" si="15"/>
        <v>746.62499999999977</v>
      </c>
      <c r="AG61" s="297">
        <f t="shared" si="16"/>
        <v>1968.3750000000002</v>
      </c>
    </row>
    <row r="62" spans="1:33" s="468" customFormat="1" ht="15" customHeight="1" x14ac:dyDescent="0.25">
      <c r="A62" s="103">
        <v>49</v>
      </c>
      <c r="B62" s="403" t="s">
        <v>271</v>
      </c>
      <c r="C62" s="135">
        <v>31474</v>
      </c>
      <c r="D62" s="104" t="s">
        <v>61</v>
      </c>
      <c r="E62" s="104" t="s">
        <v>176</v>
      </c>
      <c r="F62" s="104" t="s">
        <v>266</v>
      </c>
      <c r="G62" s="104" t="s">
        <v>267</v>
      </c>
      <c r="H62" s="136">
        <v>404978</v>
      </c>
      <c r="I62" s="110" t="s">
        <v>272</v>
      </c>
      <c r="J62" s="104" t="s">
        <v>84</v>
      </c>
      <c r="K62" s="104" t="s">
        <v>273</v>
      </c>
      <c r="L62" s="312">
        <v>1.5</v>
      </c>
      <c r="M62" s="132">
        <f t="shared" si="17"/>
        <v>2715</v>
      </c>
      <c r="N62" s="134"/>
      <c r="O62" s="133">
        <f t="shared" si="18"/>
        <v>2715</v>
      </c>
      <c r="P62" s="293">
        <f t="shared" si="10"/>
        <v>2715</v>
      </c>
      <c r="Q62" s="133">
        <f>IF(OR($G62="EST",$G62="EFE"),0,IF($P62&gt;='Tabelas INSS e IR'!$B$8,'Tabelas INSS e IR'!$D$8,IF($P62&gt;='Tabelas INSS e IR'!$B$7,($P62*'Tabelas INSS e IR'!$D$7)-'Tabelas INSS e IR'!$E$7,IF($P62&gt;='Tabelas INSS e IR'!$B$6,($P62*'Tabelas INSS e IR'!$D$6)-'Tabelas INSS e IR'!$E$6,IF($P62&gt;='Tabelas INSS e IR'!$B$5,($P62*'Tabelas INSS e IR'!$D$5)-'Tabelas INSS e IR'!$E$5,$P62*'Tabelas INSS e IR'!$D$4)))))</f>
        <v>0</v>
      </c>
      <c r="R62" s="133">
        <f>IF(OR($G62="EST",$G62="EFE"),0,IF($N62&gt;='Tabelas INSS e IR'!$B$8,'Tabelas INSS e IR'!$D$8,IF($N62&gt;='Tabelas INSS e IR'!$B$7,($N62*'Tabelas INSS e IR'!$D$7)-'Tabelas INSS e IR'!$E$7,IF($N62&gt;='Tabelas INSS e IR'!$B$6,($N62*'Tabelas INSS e IR'!$D$6)-'Tabelas INSS e IR'!$E$6,IF($N62&gt;='Tabelas INSS e IR'!$B$5,($N62*'Tabelas INSS e IR'!$D$5)-'Tabelas INSS e IR'!$E$5,$N62*'Tabelas INSS e IR'!$D$4)))))</f>
        <v>0</v>
      </c>
      <c r="S62" s="132"/>
      <c r="T62" s="294">
        <f>(IF(OR($G62="EST",$G62="EFE"),0,IF((Q62+S62)&gt;'Tabelas INSS e IR'!$D$8,'Tabelas INSS e IR'!$D$8-(S62+R62),(Q62-R62))))</f>
        <v>0</v>
      </c>
      <c r="U62" s="392">
        <v>4517.05</v>
      </c>
      <c r="V62" s="159"/>
      <c r="W62" s="247">
        <f t="shared" si="11"/>
        <v>4517.05</v>
      </c>
      <c r="X62" s="291">
        <f t="shared" si="12"/>
        <v>2715</v>
      </c>
      <c r="Y62" s="133">
        <f t="shared" si="13"/>
        <v>7232.05</v>
      </c>
      <c r="Z62" s="133">
        <f>IF($Y62&lt;'Tabelas INSS e IR'!$H$5,0,IF($Y62&lt;'Tabelas INSS e IR'!$H$6,($Y62*'Tabelas INSS e IR'!$J$5)-'Tabelas INSS e IR'!$K$5,IF($Y62&lt;'Tabelas INSS e IR'!$H$7,($Y62*'Tabelas INSS e IR'!$J$6)-'Tabelas INSS e IR'!$K$6,IF($Y62&lt;'Tabelas INSS e IR'!$H$8,($Y62*'Tabelas INSS e IR'!$J$7)-'Tabelas INSS e IR'!$K$7,($Y62*'Tabelas INSS e IR'!$J$8)-'Tabelas INSS e IR'!$K$8))))</f>
        <v>1080.0837500000002</v>
      </c>
      <c r="AA62" s="133">
        <f>IF($W62&lt;'Tabelas INSS e IR'!$H$5,0,IF($W62&lt;'Tabelas INSS e IR'!$H$6,($W62*'Tabelas INSS e IR'!$J$5)-'Tabelas INSS e IR'!$K$5,IF($W62&lt;'Tabelas INSS e IR'!$H$7,($W62*'Tabelas INSS e IR'!$J$6)-'Tabelas INSS e IR'!$K$6,IF($W62&lt;'Tabelas INSS e IR'!$H$8,($W62*'Tabelas INSS e IR'!$J$7)-'Tabelas INSS e IR'!$K$7,($W62*'Tabelas INSS e IR'!$J$8)-'Tabelas INSS e IR'!$K$8))))</f>
        <v>340.84625000000005</v>
      </c>
      <c r="AB62" s="294">
        <f t="shared" si="14"/>
        <v>739.23750000000018</v>
      </c>
      <c r="AC62" s="154"/>
      <c r="AD62" s="141"/>
      <c r="AE62" s="147"/>
      <c r="AF62" s="297">
        <f t="shared" si="15"/>
        <v>739.23750000000018</v>
      </c>
      <c r="AG62" s="297">
        <f t="shared" si="16"/>
        <v>1975.7624999999998</v>
      </c>
    </row>
    <row r="63" spans="1:33" s="468" customFormat="1" ht="15" customHeight="1" x14ac:dyDescent="0.25">
      <c r="A63" s="104">
        <v>50</v>
      </c>
      <c r="B63" s="403" t="s">
        <v>274</v>
      </c>
      <c r="C63" s="135">
        <v>32295</v>
      </c>
      <c r="D63" s="104" t="s">
        <v>224</v>
      </c>
      <c r="E63" s="104" t="s">
        <v>176</v>
      </c>
      <c r="F63" s="104" t="s">
        <v>266</v>
      </c>
      <c r="G63" s="104" t="s">
        <v>267</v>
      </c>
      <c r="H63" s="104" t="s">
        <v>275</v>
      </c>
      <c r="I63" s="110" t="s">
        <v>276</v>
      </c>
      <c r="J63" s="104" t="s">
        <v>84</v>
      </c>
      <c r="K63" s="104" t="s">
        <v>277</v>
      </c>
      <c r="L63" s="246">
        <v>0.75</v>
      </c>
      <c r="M63" s="132">
        <f t="shared" si="17"/>
        <v>1357.5</v>
      </c>
      <c r="N63" s="134"/>
      <c r="O63" s="133">
        <f t="shared" si="18"/>
        <v>1357.5</v>
      </c>
      <c r="P63" s="293">
        <f t="shared" si="10"/>
        <v>1357.5</v>
      </c>
      <c r="Q63" s="133">
        <f>IF(OR($G63="EST",$G63="EFE"),0,IF($P63&gt;='Tabelas INSS e IR'!$B$8,'Tabelas INSS e IR'!$D$8,IF($P63&gt;='Tabelas INSS e IR'!$B$7,($P63*'Tabelas INSS e IR'!$D$7)-'Tabelas INSS e IR'!$E$7,IF($P63&gt;='Tabelas INSS e IR'!$B$6,($P63*'Tabelas INSS e IR'!$D$6)-'Tabelas INSS e IR'!$E$6,IF($P63&gt;='Tabelas INSS e IR'!$B$5,($P63*'Tabelas INSS e IR'!$D$5)-'Tabelas INSS e IR'!$E$5,$P63*'Tabelas INSS e IR'!$D$4)))))</f>
        <v>0</v>
      </c>
      <c r="R63" s="133">
        <f>IF(OR($G63="EST",$G63="EFE"),0,IF($N63&gt;='Tabelas INSS e IR'!$B$8,'Tabelas INSS e IR'!$D$8,IF($N63&gt;='Tabelas INSS e IR'!$B$7,($N63*'Tabelas INSS e IR'!$D$7)-'Tabelas INSS e IR'!$E$7,IF($N63&gt;='Tabelas INSS e IR'!$B$6,($N63*'Tabelas INSS e IR'!$D$6)-'Tabelas INSS e IR'!$E$6,IF($N63&gt;='Tabelas INSS e IR'!$B$5,($N63*'Tabelas INSS e IR'!$D$5)-'Tabelas INSS e IR'!$E$5,$N63*'Tabelas INSS e IR'!$D$4)))))</f>
        <v>0</v>
      </c>
      <c r="S63" s="132"/>
      <c r="T63" s="294">
        <f>(IF(OR($G63="EST",$G63="EFE"),0,IF((Q63+S63)&gt;'Tabelas INSS e IR'!$D$8,'Tabelas INSS e IR'!$D$8-(S63+R63),(Q63-R63))))</f>
        <v>0</v>
      </c>
      <c r="U63" s="392">
        <v>4260.2299999999996</v>
      </c>
      <c r="V63" s="159"/>
      <c r="W63" s="247">
        <f t="shared" si="11"/>
        <v>4260.2299999999996</v>
      </c>
      <c r="X63" s="291">
        <f t="shared" si="12"/>
        <v>1357.5</v>
      </c>
      <c r="Y63" s="133">
        <f t="shared" si="13"/>
        <v>5617.73</v>
      </c>
      <c r="Z63" s="133">
        <f>IF($Y63&lt;'Tabelas INSS e IR'!$H$5,0,IF($Y63&lt;'Tabelas INSS e IR'!$H$6,($Y63*'Tabelas INSS e IR'!$J$5)-'Tabelas INSS e IR'!$K$5,IF($Y63&lt;'Tabelas INSS e IR'!$H$7,($Y63*'Tabelas INSS e IR'!$J$6)-'Tabelas INSS e IR'!$K$6,IF($Y63&lt;'Tabelas INSS e IR'!$H$8,($Y63*'Tabelas INSS e IR'!$J$7)-'Tabelas INSS e IR'!$K$7,($Y63*'Tabelas INSS e IR'!$J$8)-'Tabelas INSS e IR'!$K$8))))</f>
        <v>636.14574999999991</v>
      </c>
      <c r="AA63" s="133">
        <f>IF($W63&lt;'Tabelas INSS e IR'!$H$5,0,IF($W63&lt;'Tabelas INSS e IR'!$H$6,($W63*'Tabelas INSS e IR'!$J$5)-'Tabelas INSS e IR'!$K$5,IF($W63&lt;'Tabelas INSS e IR'!$H$7,($W63*'Tabelas INSS e IR'!$J$6)-'Tabelas INSS e IR'!$K$6,IF($W63&lt;'Tabelas INSS e IR'!$H$8,($W63*'Tabelas INSS e IR'!$J$7)-'Tabelas INSS e IR'!$K$7,($W63*'Tabelas INSS e IR'!$J$8)-'Tabelas INSS e IR'!$K$8))))</f>
        <v>283.06174999999996</v>
      </c>
      <c r="AB63" s="294">
        <f t="shared" si="14"/>
        <v>353.08399999999995</v>
      </c>
      <c r="AC63" s="138"/>
      <c r="AD63" s="137"/>
      <c r="AE63" s="139"/>
      <c r="AF63" s="297">
        <f t="shared" si="15"/>
        <v>353.08399999999995</v>
      </c>
      <c r="AG63" s="297">
        <f t="shared" si="16"/>
        <v>1004.4160000000001</v>
      </c>
    </row>
    <row r="64" spans="1:33" s="468" customFormat="1" ht="15" customHeight="1" x14ac:dyDescent="0.25">
      <c r="A64" s="103">
        <v>51</v>
      </c>
      <c r="B64" s="403" t="s">
        <v>278</v>
      </c>
      <c r="C64" s="135">
        <v>31579</v>
      </c>
      <c r="D64" s="104" t="s">
        <v>75</v>
      </c>
      <c r="E64" s="104" t="s">
        <v>228</v>
      </c>
      <c r="F64" s="104" t="s">
        <v>266</v>
      </c>
      <c r="G64" s="104" t="s">
        <v>267</v>
      </c>
      <c r="H64" s="104" t="s">
        <v>279</v>
      </c>
      <c r="I64" s="110" t="s">
        <v>280</v>
      </c>
      <c r="J64" s="104" t="s">
        <v>117</v>
      </c>
      <c r="K64" s="168" t="s">
        <v>281</v>
      </c>
      <c r="L64" s="246">
        <v>0.41</v>
      </c>
      <c r="M64" s="132">
        <f t="shared" si="17"/>
        <v>742.09999999999991</v>
      </c>
      <c r="N64" s="134"/>
      <c r="O64" s="133">
        <f t="shared" si="18"/>
        <v>742.09999999999991</v>
      </c>
      <c r="P64" s="293">
        <f t="shared" si="10"/>
        <v>742.09999999999991</v>
      </c>
      <c r="Q64" s="133">
        <f>IF(OR($G64="EST",$G64="EFE"),0,IF($P64&gt;='Tabelas INSS e IR'!$B$8,'Tabelas INSS e IR'!$D$8,IF($P64&gt;='Tabelas INSS e IR'!$B$7,($P64*'Tabelas INSS e IR'!$D$7)-'Tabelas INSS e IR'!$E$7,IF($P64&gt;='Tabelas INSS e IR'!$B$6,($P64*'Tabelas INSS e IR'!$D$6)-'Tabelas INSS e IR'!$E$6,IF($P64&gt;='Tabelas INSS e IR'!$B$5,($P64*'Tabelas INSS e IR'!$D$5)-'Tabelas INSS e IR'!$E$5,$P64*'Tabelas INSS e IR'!$D$4)))))</f>
        <v>0</v>
      </c>
      <c r="R64" s="133">
        <f>IF(OR($G64="EST",$G64="EFE"),0,IF($N64&gt;='Tabelas INSS e IR'!$B$8,'Tabelas INSS e IR'!$D$8,IF($N64&gt;='Tabelas INSS e IR'!$B$7,($N64*'Tabelas INSS e IR'!$D$7)-'Tabelas INSS e IR'!$E$7,IF($N64&gt;='Tabelas INSS e IR'!$B$6,($N64*'Tabelas INSS e IR'!$D$6)-'Tabelas INSS e IR'!$E$6,IF($N64&gt;='Tabelas INSS e IR'!$B$5,($N64*'Tabelas INSS e IR'!$D$5)-'Tabelas INSS e IR'!$E$5,$N64*'Tabelas INSS e IR'!$D$4)))))</f>
        <v>0</v>
      </c>
      <c r="S64" s="132"/>
      <c r="T64" s="294">
        <f>(IF(OR($G64="EST",$G64="EFE"),0,IF((Q64+S64)&gt;'Tabelas INSS e IR'!$D$8,'Tabelas INSS e IR'!$D$8-(S64+R64),(Q64-R64))))</f>
        <v>0</v>
      </c>
      <c r="U64" s="392">
        <v>5107.6499999999996</v>
      </c>
      <c r="V64" s="159"/>
      <c r="W64" s="247">
        <f t="shared" si="11"/>
        <v>5107.6499999999996</v>
      </c>
      <c r="X64" s="291">
        <f t="shared" si="12"/>
        <v>742.09999999999991</v>
      </c>
      <c r="Y64" s="133">
        <f t="shared" si="13"/>
        <v>5849.75</v>
      </c>
      <c r="Z64" s="133">
        <f>IF($Y64&lt;'Tabelas INSS e IR'!$H$5,0,IF($Y64&lt;'Tabelas INSS e IR'!$H$6,($Y64*'Tabelas INSS e IR'!$J$5)-'Tabelas INSS e IR'!$K$5,IF($Y64&lt;'Tabelas INSS e IR'!$H$7,($Y64*'Tabelas INSS e IR'!$J$6)-'Tabelas INSS e IR'!$K$6,IF($Y64&lt;'Tabelas INSS e IR'!$H$8,($Y64*'Tabelas INSS e IR'!$J$7)-'Tabelas INSS e IR'!$K$7,($Y64*'Tabelas INSS e IR'!$J$8)-'Tabelas INSS e IR'!$K$8))))</f>
        <v>699.95125000000007</v>
      </c>
      <c r="AA64" s="133">
        <f>IF($W64&lt;'Tabelas INSS e IR'!$H$5,0,IF($W64&lt;'Tabelas INSS e IR'!$H$6,($W64*'Tabelas INSS e IR'!$J$5)-'Tabelas INSS e IR'!$K$5,IF($W64&lt;'Tabelas INSS e IR'!$H$7,($W64*'Tabelas INSS e IR'!$J$6)-'Tabelas INSS e IR'!$K$6,IF($W64&lt;'Tabelas INSS e IR'!$H$8,($W64*'Tabelas INSS e IR'!$J$7)-'Tabelas INSS e IR'!$K$7,($W64*'Tabelas INSS e IR'!$J$8)-'Tabelas INSS e IR'!$K$8))))</f>
        <v>495.87374999999997</v>
      </c>
      <c r="AB64" s="294">
        <f t="shared" si="14"/>
        <v>204.0775000000001</v>
      </c>
      <c r="AC64" s="138"/>
      <c r="AD64" s="137"/>
      <c r="AE64" s="139"/>
      <c r="AF64" s="297">
        <f t="shared" si="15"/>
        <v>204.0775000000001</v>
      </c>
      <c r="AG64" s="297">
        <f t="shared" si="16"/>
        <v>538.02249999999981</v>
      </c>
    </row>
    <row r="65" spans="1:33" s="469" customFormat="1" ht="15" customHeight="1" x14ac:dyDescent="0.25">
      <c r="A65" s="103">
        <v>52</v>
      </c>
      <c r="B65" s="403" t="s">
        <v>282</v>
      </c>
      <c r="C65" s="135">
        <v>31554</v>
      </c>
      <c r="D65" s="104" t="s">
        <v>61</v>
      </c>
      <c r="E65" s="104" t="s">
        <v>283</v>
      </c>
      <c r="F65" s="104" t="s">
        <v>266</v>
      </c>
      <c r="G65" s="104" t="s">
        <v>267</v>
      </c>
      <c r="H65" s="104" t="s">
        <v>279</v>
      </c>
      <c r="I65" s="110" t="s">
        <v>284</v>
      </c>
      <c r="J65" s="104" t="s">
        <v>136</v>
      </c>
      <c r="K65" s="168" t="s">
        <v>285</v>
      </c>
      <c r="L65" s="312">
        <v>1.5</v>
      </c>
      <c r="M65" s="132">
        <f t="shared" si="17"/>
        <v>2715</v>
      </c>
      <c r="N65" s="134"/>
      <c r="O65" s="133">
        <f t="shared" si="18"/>
        <v>2715</v>
      </c>
      <c r="P65" s="293">
        <f t="shared" si="10"/>
        <v>2715</v>
      </c>
      <c r="Q65" s="133">
        <f>IF(OR($G65="EST",$G65="EFE"),0,IF($P65&gt;='Tabelas INSS e IR'!$B$8,'Tabelas INSS e IR'!$D$8,IF($P65&gt;='Tabelas INSS e IR'!$B$7,($P65*'Tabelas INSS e IR'!$D$7)-'Tabelas INSS e IR'!$E$7,IF($P65&gt;='Tabelas INSS e IR'!$B$6,($P65*'Tabelas INSS e IR'!$D$6)-'Tabelas INSS e IR'!$E$6,IF($P65&gt;='Tabelas INSS e IR'!$B$5,($P65*'Tabelas INSS e IR'!$D$5)-'Tabelas INSS e IR'!$E$5,$P65*'Tabelas INSS e IR'!$D$4)))))</f>
        <v>0</v>
      </c>
      <c r="R65" s="133">
        <f>IF(OR($G65="EST",$G65="EFE"),0,IF($N65&gt;='Tabelas INSS e IR'!$B$8,'Tabelas INSS e IR'!$D$8,IF($N65&gt;='Tabelas INSS e IR'!$B$7,($N65*'Tabelas INSS e IR'!$D$7)-'Tabelas INSS e IR'!$E$7,IF($N65&gt;='Tabelas INSS e IR'!$B$6,($N65*'Tabelas INSS e IR'!$D$6)-'Tabelas INSS e IR'!$E$6,IF($N65&gt;='Tabelas INSS e IR'!$B$5,($N65*'Tabelas INSS e IR'!$D$5)-'Tabelas INSS e IR'!$E$5,$N65*'Tabelas INSS e IR'!$D$4)))))</f>
        <v>0</v>
      </c>
      <c r="S65" s="132"/>
      <c r="T65" s="294">
        <f>(IF(OR($G65="EST",$G65="EFE"),0,IF((Q65+S65)&gt;'Tabelas INSS e IR'!$D$8,'Tabelas INSS e IR'!$D$8-(S65+R65),(Q65-R65))))</f>
        <v>0</v>
      </c>
      <c r="U65" s="392">
        <v>4478.1000000000004</v>
      </c>
      <c r="V65" s="159"/>
      <c r="W65" s="247">
        <f t="shared" si="11"/>
        <v>4478.1000000000004</v>
      </c>
      <c r="X65" s="291">
        <f t="shared" si="12"/>
        <v>2715</v>
      </c>
      <c r="Y65" s="133">
        <f t="shared" si="13"/>
        <v>7193.1</v>
      </c>
      <c r="Z65" s="133">
        <f>IF($Y65&lt;'Tabelas INSS e IR'!$H$5,0,IF($Y65&lt;'Tabelas INSS e IR'!$H$6,($Y65*'Tabelas INSS e IR'!$J$5)-'Tabelas INSS e IR'!$K$5,IF($Y65&lt;'Tabelas INSS e IR'!$H$7,($Y65*'Tabelas INSS e IR'!$J$6)-'Tabelas INSS e IR'!$K$6,IF($Y65&lt;'Tabelas INSS e IR'!$H$8,($Y65*'Tabelas INSS e IR'!$J$7)-'Tabelas INSS e IR'!$K$7,($Y65*'Tabelas INSS e IR'!$J$8)-'Tabelas INSS e IR'!$K$8))))</f>
        <v>1069.3725000000002</v>
      </c>
      <c r="AA65" s="133">
        <f>IF($W65&lt;'Tabelas INSS e IR'!$H$5,0,IF($W65&lt;'Tabelas INSS e IR'!$H$6,($W65*'Tabelas INSS e IR'!$J$5)-'Tabelas INSS e IR'!$K$5,IF($W65&lt;'Tabelas INSS e IR'!$H$7,($W65*'Tabelas INSS e IR'!$J$6)-'Tabelas INSS e IR'!$K$6,IF($W65&lt;'Tabelas INSS e IR'!$H$8,($W65*'Tabelas INSS e IR'!$J$7)-'Tabelas INSS e IR'!$K$7,($W65*'Tabelas INSS e IR'!$J$8)-'Tabelas INSS e IR'!$K$8))))</f>
        <v>332.0825000000001</v>
      </c>
      <c r="AB65" s="294">
        <f t="shared" si="14"/>
        <v>737.29000000000008</v>
      </c>
      <c r="AC65" s="154"/>
      <c r="AD65" s="141"/>
      <c r="AE65" s="147"/>
      <c r="AF65" s="297">
        <f t="shared" si="15"/>
        <v>737.29000000000008</v>
      </c>
      <c r="AG65" s="297">
        <f t="shared" si="16"/>
        <v>1977.71</v>
      </c>
    </row>
    <row r="66" spans="1:33" s="468" customFormat="1" ht="15" customHeight="1" x14ac:dyDescent="0.25">
      <c r="A66" s="103">
        <v>53</v>
      </c>
      <c r="B66" s="403" t="s">
        <v>286</v>
      </c>
      <c r="C66" s="135">
        <v>31240</v>
      </c>
      <c r="D66" s="104" t="s">
        <v>61</v>
      </c>
      <c r="E66" s="104" t="s">
        <v>287</v>
      </c>
      <c r="F66" s="104" t="s">
        <v>266</v>
      </c>
      <c r="G66" s="104" t="s">
        <v>267</v>
      </c>
      <c r="H66" s="104" t="s">
        <v>288</v>
      </c>
      <c r="I66" s="148" t="s">
        <v>289</v>
      </c>
      <c r="J66" s="104" t="s">
        <v>84</v>
      </c>
      <c r="K66" s="104" t="s">
        <v>290</v>
      </c>
      <c r="L66" s="246">
        <v>1.5</v>
      </c>
      <c r="M66" s="132">
        <f t="shared" si="17"/>
        <v>2715</v>
      </c>
      <c r="N66" s="134"/>
      <c r="O66" s="133">
        <f t="shared" si="18"/>
        <v>2715</v>
      </c>
      <c r="P66" s="293">
        <f t="shared" si="10"/>
        <v>2715</v>
      </c>
      <c r="Q66" s="133">
        <f>IF(OR($G66="EST",$G66="EFE"),0,IF($P66&gt;='Tabelas INSS e IR'!$B$8,'Tabelas INSS e IR'!$D$8,IF($P66&gt;='Tabelas INSS e IR'!$B$7,($P66*'Tabelas INSS e IR'!$D$7)-'Tabelas INSS e IR'!$E$7,IF($P66&gt;='Tabelas INSS e IR'!$B$6,($P66*'Tabelas INSS e IR'!$D$6)-'Tabelas INSS e IR'!$E$6,IF($P66&gt;='Tabelas INSS e IR'!$B$5,($P66*'Tabelas INSS e IR'!$D$5)-'Tabelas INSS e IR'!$E$5,$P66*'Tabelas INSS e IR'!$D$4)))))</f>
        <v>0</v>
      </c>
      <c r="R66" s="133">
        <f>IF(OR($G66="EST",$G66="EFE"),0,IF($N66&gt;='Tabelas INSS e IR'!$B$8,'Tabelas INSS e IR'!$D$8,IF($N66&gt;='Tabelas INSS e IR'!$B$7,($N66*'Tabelas INSS e IR'!$D$7)-'Tabelas INSS e IR'!$E$7,IF($N66&gt;='Tabelas INSS e IR'!$B$6,($N66*'Tabelas INSS e IR'!$D$6)-'Tabelas INSS e IR'!$E$6,IF($N66&gt;='Tabelas INSS e IR'!$B$5,($N66*'Tabelas INSS e IR'!$D$5)-'Tabelas INSS e IR'!$E$5,$N66*'Tabelas INSS e IR'!$D$4)))))</f>
        <v>0</v>
      </c>
      <c r="S66" s="132"/>
      <c r="T66" s="294">
        <f>(IF(OR($G66="EST",$G66="EFE"),0,IF((Q66+S66)&gt;'Tabelas INSS e IR'!$D$8,'Tabelas INSS e IR'!$D$8-(S66+R66),(Q66-R66))))</f>
        <v>0</v>
      </c>
      <c r="U66" s="392">
        <v>3694.29</v>
      </c>
      <c r="V66" s="159"/>
      <c r="W66" s="247">
        <f t="shared" si="11"/>
        <v>3694.29</v>
      </c>
      <c r="X66" s="291">
        <f t="shared" si="12"/>
        <v>2715</v>
      </c>
      <c r="Y66" s="133">
        <f t="shared" si="13"/>
        <v>6409.29</v>
      </c>
      <c r="Z66" s="133">
        <f>IF($Y66&lt;'Tabelas INSS e IR'!$H$5,0,IF($Y66&lt;'Tabelas INSS e IR'!$H$6,($Y66*'Tabelas INSS e IR'!$J$5)-'Tabelas INSS e IR'!$K$5,IF($Y66&lt;'Tabelas INSS e IR'!$H$7,($Y66*'Tabelas INSS e IR'!$J$6)-'Tabelas INSS e IR'!$K$6,IF($Y66&lt;'Tabelas INSS e IR'!$H$8,($Y66*'Tabelas INSS e IR'!$J$7)-'Tabelas INSS e IR'!$K$7,($Y66*'Tabelas INSS e IR'!$J$8)-'Tabelas INSS e IR'!$K$8))))</f>
        <v>853.82475000000022</v>
      </c>
      <c r="AA66" s="133">
        <f>IF($W66&lt;'Tabelas INSS e IR'!$H$5,0,IF($W66&lt;'Tabelas INSS e IR'!$H$6,($W66*'Tabelas INSS e IR'!$J$5)-'Tabelas INSS e IR'!$K$5,IF($W66&lt;'Tabelas INSS e IR'!$H$7,($W66*'Tabelas INSS e IR'!$J$6)-'Tabelas INSS e IR'!$K$6,IF($W66&lt;'Tabelas INSS e IR'!$H$8,($W66*'Tabelas INSS e IR'!$J$7)-'Tabelas INSS e IR'!$K$7,($W66*'Tabelas INSS e IR'!$J$8)-'Tabelas INSS e IR'!$K$8))))</f>
        <v>159.98349999999999</v>
      </c>
      <c r="AB66" s="294">
        <f t="shared" si="14"/>
        <v>693.84125000000017</v>
      </c>
      <c r="AC66" s="138"/>
      <c r="AD66" s="137"/>
      <c r="AE66" s="139"/>
      <c r="AF66" s="297">
        <f t="shared" si="15"/>
        <v>693.84125000000017</v>
      </c>
      <c r="AG66" s="297">
        <f t="shared" si="16"/>
        <v>2021.1587499999998</v>
      </c>
    </row>
    <row r="67" spans="1:33" s="468" customFormat="1" ht="15" customHeight="1" x14ac:dyDescent="0.25">
      <c r="A67" s="104">
        <v>54</v>
      </c>
      <c r="B67" s="403" t="s">
        <v>553</v>
      </c>
      <c r="C67" s="135">
        <v>44265</v>
      </c>
      <c r="D67" s="105" t="s">
        <v>107</v>
      </c>
      <c r="E67" s="104" t="s">
        <v>291</v>
      </c>
      <c r="F67" s="104" t="s">
        <v>63</v>
      </c>
      <c r="G67" s="104" t="s">
        <v>64</v>
      </c>
      <c r="H67" s="136">
        <v>781747</v>
      </c>
      <c r="I67" s="148" t="s">
        <v>554</v>
      </c>
      <c r="J67" s="104" t="s">
        <v>140</v>
      </c>
      <c r="K67" s="104" t="s">
        <v>555</v>
      </c>
      <c r="L67" s="246">
        <v>0.41</v>
      </c>
      <c r="M67" s="132">
        <f t="shared" si="17"/>
        <v>742.09999999999991</v>
      </c>
      <c r="N67" s="134"/>
      <c r="O67" s="133">
        <f t="shared" si="18"/>
        <v>742.09999999999991</v>
      </c>
      <c r="P67" s="293">
        <f t="shared" si="10"/>
        <v>742.09999999999991</v>
      </c>
      <c r="Q67" s="133">
        <f>IF(OR($G67="EST",$G67="EFE"),0,IF($P67&gt;='Tabelas INSS e IR'!$B$8,'Tabelas INSS e IR'!$D$8,IF($P67&gt;='Tabelas INSS e IR'!$B$7,($P67*'Tabelas INSS e IR'!$D$7)-'Tabelas INSS e IR'!$E$7,IF($P67&gt;='Tabelas INSS e IR'!$B$6,($P67*'Tabelas INSS e IR'!$D$6)-'Tabelas INSS e IR'!$E$6,IF($P67&gt;='Tabelas INSS e IR'!$B$5,($P67*'Tabelas INSS e IR'!$D$5)-'Tabelas INSS e IR'!$E$5,$P67*'Tabelas INSS e IR'!$D$4)))))</f>
        <v>55.657499999999978</v>
      </c>
      <c r="R67" s="133">
        <f>IF(OR($G67="EST",$G67="EFE"),0,IF($N67&gt;='Tabelas INSS e IR'!$B$8,'Tabelas INSS e IR'!$D$8,IF($N67&gt;='Tabelas INSS e IR'!$B$7,($N67*'Tabelas INSS e IR'!$D$7)-'Tabelas INSS e IR'!$E$7,IF($N67&gt;='Tabelas INSS e IR'!$B$6,($N67*'Tabelas INSS e IR'!$D$6)-'Tabelas INSS e IR'!$E$6,IF($N67&gt;='Tabelas INSS e IR'!$B$5,($N67*'Tabelas INSS e IR'!$D$5)-'Tabelas INSS e IR'!$E$5,$N67*'Tabelas INSS e IR'!$D$4)))))</f>
        <v>0</v>
      </c>
      <c r="S67" s="132"/>
      <c r="T67" s="294">
        <f>(IF(OR($G67="EST",$G67="EFE"),0,IF((Q67+S67)&gt;'Tabelas INSS e IR'!$D$8,'Tabelas INSS e IR'!$D$8-(S67+R67),(Q67-R67))))</f>
        <v>55.657499999999978</v>
      </c>
      <c r="U67" s="392">
        <f t="shared" si="9"/>
        <v>0</v>
      </c>
      <c r="V67" s="137"/>
      <c r="W67" s="247">
        <f t="shared" si="11"/>
        <v>0</v>
      </c>
      <c r="X67" s="291">
        <f t="shared" si="12"/>
        <v>686.44249999999988</v>
      </c>
      <c r="Y67" s="133">
        <f t="shared" si="13"/>
        <v>686.44249999999988</v>
      </c>
      <c r="Z67" s="133">
        <f>IF($Y67&lt;'Tabelas INSS e IR'!$H$5,0,IF($Y67&lt;'Tabelas INSS e IR'!$H$6,($Y67*'Tabelas INSS e IR'!$J$5)-'Tabelas INSS e IR'!$K$5,IF($Y67&lt;'Tabelas INSS e IR'!$H$7,($Y67*'Tabelas INSS e IR'!$J$6)-'Tabelas INSS e IR'!$K$6,IF($Y67&lt;'Tabelas INSS e IR'!$H$8,($Y67*'Tabelas INSS e IR'!$J$7)-'Tabelas INSS e IR'!$K$7,($Y67*'Tabelas INSS e IR'!$J$8)-'Tabelas INSS e IR'!$K$8))))</f>
        <v>0</v>
      </c>
      <c r="AA67" s="133">
        <f>IF($W67&lt;'Tabelas INSS e IR'!$H$5,0,IF($W67&lt;'Tabelas INSS e IR'!$H$6,($W67*'Tabelas INSS e IR'!$J$5)-'Tabelas INSS e IR'!$K$5,IF($W67&lt;'Tabelas INSS e IR'!$H$7,($W67*'Tabelas INSS e IR'!$J$6)-'Tabelas INSS e IR'!$K$6,IF($W67&lt;'Tabelas INSS e IR'!$H$8,($W67*'Tabelas INSS e IR'!$J$7)-'Tabelas INSS e IR'!$K$7,($W67*'Tabelas INSS e IR'!$J$8)-'Tabelas INSS e IR'!$K$8))))</f>
        <v>0</v>
      </c>
      <c r="AB67" s="294">
        <f t="shared" si="14"/>
        <v>0</v>
      </c>
      <c r="AC67" s="138"/>
      <c r="AD67" s="137"/>
      <c r="AE67" s="139"/>
      <c r="AF67" s="297">
        <f t="shared" si="15"/>
        <v>55.657499999999978</v>
      </c>
      <c r="AG67" s="297">
        <f t="shared" si="16"/>
        <v>686.44249999999988</v>
      </c>
    </row>
    <row r="68" spans="1:33" s="468" customFormat="1" ht="15" customHeight="1" x14ac:dyDescent="0.25">
      <c r="A68" s="103">
        <v>55</v>
      </c>
      <c r="B68" s="403" t="s">
        <v>292</v>
      </c>
      <c r="C68" s="135">
        <v>30117</v>
      </c>
      <c r="D68" s="104" t="s">
        <v>75</v>
      </c>
      <c r="E68" s="104" t="s">
        <v>182</v>
      </c>
      <c r="F68" s="104" t="s">
        <v>266</v>
      </c>
      <c r="G68" s="104" t="s">
        <v>267</v>
      </c>
      <c r="H68" s="104" t="s">
        <v>293</v>
      </c>
      <c r="I68" s="110" t="s">
        <v>294</v>
      </c>
      <c r="J68" s="104" t="s">
        <v>84</v>
      </c>
      <c r="K68" s="104" t="s">
        <v>295</v>
      </c>
      <c r="L68" s="246">
        <v>0.41</v>
      </c>
      <c r="M68" s="132">
        <f t="shared" si="17"/>
        <v>742.09999999999991</v>
      </c>
      <c r="N68" s="134"/>
      <c r="O68" s="133">
        <f t="shared" si="18"/>
        <v>742.09999999999991</v>
      </c>
      <c r="P68" s="293">
        <f t="shared" si="10"/>
        <v>742.09999999999991</v>
      </c>
      <c r="Q68" s="133">
        <f>IF(OR($G68="EST",$G68="EFE"),0,IF($P68&gt;='Tabelas INSS e IR'!$B$8,'Tabelas INSS e IR'!$D$8,IF($P68&gt;='Tabelas INSS e IR'!$B$7,($P68*'Tabelas INSS e IR'!$D$7)-'Tabelas INSS e IR'!$E$7,IF($P68&gt;='Tabelas INSS e IR'!$B$6,($P68*'Tabelas INSS e IR'!$D$6)-'Tabelas INSS e IR'!$E$6,IF($P68&gt;='Tabelas INSS e IR'!$B$5,($P68*'Tabelas INSS e IR'!$D$5)-'Tabelas INSS e IR'!$E$5,$P68*'Tabelas INSS e IR'!$D$4)))))</f>
        <v>0</v>
      </c>
      <c r="R68" s="133">
        <f>IF(OR($G68="EST",$G68="EFE"),0,IF($N68&gt;='Tabelas INSS e IR'!$B$8,'Tabelas INSS e IR'!$D$8,IF($N68&gt;='Tabelas INSS e IR'!$B$7,($N68*'Tabelas INSS e IR'!$D$7)-'Tabelas INSS e IR'!$E$7,IF($N68&gt;='Tabelas INSS e IR'!$B$6,($N68*'Tabelas INSS e IR'!$D$6)-'Tabelas INSS e IR'!$E$6,IF($N68&gt;='Tabelas INSS e IR'!$B$5,($N68*'Tabelas INSS e IR'!$D$5)-'Tabelas INSS e IR'!$E$5,$N68*'Tabelas INSS e IR'!$D$4)))))</f>
        <v>0</v>
      </c>
      <c r="S68" s="132"/>
      <c r="T68" s="294">
        <f>(IF(OR($G68="EST",$G68="EFE"),0,IF((Q68+S68)&gt;'Tabelas INSS e IR'!$D$8,'Tabelas INSS e IR'!$D$8-(S68+R68),(Q68-R68))))</f>
        <v>0</v>
      </c>
      <c r="U68" s="392">
        <v>3348.41</v>
      </c>
      <c r="V68" s="137"/>
      <c r="W68" s="247">
        <f t="shared" si="11"/>
        <v>3348.41</v>
      </c>
      <c r="X68" s="291">
        <f t="shared" si="12"/>
        <v>742.09999999999991</v>
      </c>
      <c r="Y68" s="133">
        <f t="shared" si="13"/>
        <v>4090.5099999999998</v>
      </c>
      <c r="Z68" s="133">
        <f>IF($Y68&lt;'Tabelas INSS e IR'!$H$5,0,IF($Y68&lt;'Tabelas INSS e IR'!$H$6,($Y68*'Tabelas INSS e IR'!$J$5)-'Tabelas INSS e IR'!$K$5,IF($Y68&lt;'Tabelas INSS e IR'!$H$7,($Y68*'Tabelas INSS e IR'!$J$6)-'Tabelas INSS e IR'!$K$6,IF($Y68&lt;'Tabelas INSS e IR'!$H$8,($Y68*'Tabelas INSS e IR'!$J$7)-'Tabelas INSS e IR'!$K$7,($Y68*'Tabelas INSS e IR'!$J$8)-'Tabelas INSS e IR'!$K$8))))</f>
        <v>244.87474999999995</v>
      </c>
      <c r="AA68" s="133">
        <f>IF($W68&lt;'Tabelas INSS e IR'!$H$5,0,IF($W68&lt;'Tabelas INSS e IR'!$H$6,($W68*'Tabelas INSS e IR'!$J$5)-'Tabelas INSS e IR'!$K$5,IF($W68&lt;'Tabelas INSS e IR'!$H$7,($W68*'Tabelas INSS e IR'!$J$6)-'Tabelas INSS e IR'!$K$6,IF($W68&lt;'Tabelas INSS e IR'!$H$8,($W68*'Tabelas INSS e IR'!$J$7)-'Tabelas INSS e IR'!$K$7,($W68*'Tabelas INSS e IR'!$J$8)-'Tabelas INSS e IR'!$K$8))))</f>
        <v>108.10149999999993</v>
      </c>
      <c r="AB68" s="294">
        <f t="shared" si="14"/>
        <v>136.77325000000002</v>
      </c>
      <c r="AC68" s="138"/>
      <c r="AD68" s="137"/>
      <c r="AE68" s="139"/>
      <c r="AF68" s="297">
        <f t="shared" si="15"/>
        <v>136.77325000000002</v>
      </c>
      <c r="AG68" s="297">
        <f t="shared" si="16"/>
        <v>605.32674999999995</v>
      </c>
    </row>
    <row r="69" spans="1:33" s="468" customFormat="1" ht="15" customHeight="1" x14ac:dyDescent="0.25">
      <c r="A69" s="103">
        <v>56</v>
      </c>
      <c r="B69" s="403" t="s">
        <v>296</v>
      </c>
      <c r="C69" s="135">
        <v>32295</v>
      </c>
      <c r="D69" s="104" t="s">
        <v>91</v>
      </c>
      <c r="E69" s="104" t="s">
        <v>297</v>
      </c>
      <c r="F69" s="104" t="s">
        <v>266</v>
      </c>
      <c r="G69" s="104" t="s">
        <v>267</v>
      </c>
      <c r="H69" s="104" t="s">
        <v>298</v>
      </c>
      <c r="I69" s="110" t="s">
        <v>299</v>
      </c>
      <c r="J69" s="104" t="s">
        <v>84</v>
      </c>
      <c r="K69" s="104" t="s">
        <v>300</v>
      </c>
      <c r="L69" s="246">
        <v>0.75</v>
      </c>
      <c r="M69" s="132">
        <f t="shared" si="17"/>
        <v>1357.5</v>
      </c>
      <c r="N69" s="134"/>
      <c r="O69" s="133">
        <f t="shared" si="18"/>
        <v>1357.5</v>
      </c>
      <c r="P69" s="293">
        <f t="shared" si="10"/>
        <v>1357.5</v>
      </c>
      <c r="Q69" s="133">
        <f>IF(OR($G69="EST",$G69="EFE"),0,IF($P69&gt;='Tabelas INSS e IR'!$B$8,'Tabelas INSS e IR'!$D$8,IF($P69&gt;='Tabelas INSS e IR'!$B$7,($P69*'Tabelas INSS e IR'!$D$7)-'Tabelas INSS e IR'!$E$7,IF($P69&gt;='Tabelas INSS e IR'!$B$6,($P69*'Tabelas INSS e IR'!$D$6)-'Tabelas INSS e IR'!$E$6,IF($P69&gt;='Tabelas INSS e IR'!$B$5,($P69*'Tabelas INSS e IR'!$D$5)-'Tabelas INSS e IR'!$E$5,$P69*'Tabelas INSS e IR'!$D$4)))))</f>
        <v>0</v>
      </c>
      <c r="R69" s="133">
        <f>IF(OR($G69="EST",$G69="EFE"),0,IF($N69&gt;='Tabelas INSS e IR'!$B$8,'Tabelas INSS e IR'!$D$8,IF($N69&gt;='Tabelas INSS e IR'!$B$7,($N69*'Tabelas INSS e IR'!$D$7)-'Tabelas INSS e IR'!$E$7,IF($N69&gt;='Tabelas INSS e IR'!$B$6,($N69*'Tabelas INSS e IR'!$D$6)-'Tabelas INSS e IR'!$E$6,IF($N69&gt;='Tabelas INSS e IR'!$B$5,($N69*'Tabelas INSS e IR'!$D$5)-'Tabelas INSS e IR'!$E$5,$N69*'Tabelas INSS e IR'!$D$4)))))</f>
        <v>0</v>
      </c>
      <c r="S69" s="132"/>
      <c r="T69" s="294">
        <f>(IF(OR($G69="EST",$G69="EFE"),0,IF((Q69+S69)&gt;'Tabelas INSS e IR'!$D$8,'Tabelas INSS e IR'!$D$8-(S69+R69),(Q69-R69))))</f>
        <v>0</v>
      </c>
      <c r="U69" s="392">
        <v>4023.81</v>
      </c>
      <c r="V69" s="137"/>
      <c r="W69" s="247">
        <f t="shared" si="11"/>
        <v>4023.81</v>
      </c>
      <c r="X69" s="291">
        <f t="shared" si="12"/>
        <v>1357.5</v>
      </c>
      <c r="Y69" s="133">
        <f t="shared" si="13"/>
        <v>5381.3099999999995</v>
      </c>
      <c r="Z69" s="133">
        <f>IF($Y69&lt;'Tabelas INSS e IR'!$H$5,0,IF($Y69&lt;'Tabelas INSS e IR'!$H$6,($Y69*'Tabelas INSS e IR'!$J$5)-'Tabelas INSS e IR'!$K$5,IF($Y69&lt;'Tabelas INSS e IR'!$H$7,($Y69*'Tabelas INSS e IR'!$J$6)-'Tabelas INSS e IR'!$K$6,IF($Y69&lt;'Tabelas INSS e IR'!$H$8,($Y69*'Tabelas INSS e IR'!$J$7)-'Tabelas INSS e IR'!$K$7,($Y69*'Tabelas INSS e IR'!$J$8)-'Tabelas INSS e IR'!$K$8))))</f>
        <v>571.13024999999993</v>
      </c>
      <c r="AA69" s="133">
        <f>IF($W69&lt;'Tabelas INSS e IR'!$H$5,0,IF($W69&lt;'Tabelas INSS e IR'!$H$6,($W69*'Tabelas INSS e IR'!$J$5)-'Tabelas INSS e IR'!$K$5,IF($W69&lt;'Tabelas INSS e IR'!$H$7,($W69*'Tabelas INSS e IR'!$J$6)-'Tabelas INSS e IR'!$K$6,IF($W69&lt;'Tabelas INSS e IR'!$H$8,($W69*'Tabelas INSS e IR'!$J$7)-'Tabelas INSS e IR'!$K$7,($W69*'Tabelas INSS e IR'!$J$8)-'Tabelas INSS e IR'!$K$8))))</f>
        <v>229.86725000000001</v>
      </c>
      <c r="AB69" s="294">
        <f t="shared" si="14"/>
        <v>341.26299999999992</v>
      </c>
      <c r="AC69" s="138"/>
      <c r="AD69" s="137"/>
      <c r="AE69" s="139"/>
      <c r="AF69" s="297">
        <f t="shared" si="15"/>
        <v>341.26299999999992</v>
      </c>
      <c r="AG69" s="297">
        <f t="shared" si="16"/>
        <v>1016.2370000000001</v>
      </c>
    </row>
    <row r="70" spans="1:33" s="468" customFormat="1" ht="15" customHeight="1" x14ac:dyDescent="0.25">
      <c r="A70" s="103">
        <v>59</v>
      </c>
      <c r="B70" s="403" t="s">
        <v>301</v>
      </c>
      <c r="C70" s="135">
        <v>31475</v>
      </c>
      <c r="D70" s="104" t="s">
        <v>61</v>
      </c>
      <c r="E70" s="104" t="s">
        <v>302</v>
      </c>
      <c r="F70" s="104" t="s">
        <v>266</v>
      </c>
      <c r="G70" s="104" t="s">
        <v>267</v>
      </c>
      <c r="H70" s="104" t="s">
        <v>303</v>
      </c>
      <c r="I70" s="148" t="s">
        <v>304</v>
      </c>
      <c r="J70" s="104" t="s">
        <v>84</v>
      </c>
      <c r="K70" s="104" t="s">
        <v>305</v>
      </c>
      <c r="L70" s="246">
        <v>1.1499999999999999</v>
      </c>
      <c r="M70" s="132">
        <f t="shared" si="17"/>
        <v>2081.5</v>
      </c>
      <c r="N70" s="134"/>
      <c r="O70" s="133">
        <f t="shared" si="18"/>
        <v>2081.5</v>
      </c>
      <c r="P70" s="293">
        <f t="shared" si="10"/>
        <v>2081.5</v>
      </c>
      <c r="Q70" s="133">
        <f>IF(OR($G70="EST",$G70="EFE"),0,IF($P70&gt;='Tabelas INSS e IR'!$B$8,'Tabelas INSS e IR'!$D$8,IF($P70&gt;='Tabelas INSS e IR'!$B$7,($P70*'Tabelas INSS e IR'!$D$7)-'Tabelas INSS e IR'!$E$7,IF($P70&gt;='Tabelas INSS e IR'!$B$6,($P70*'Tabelas INSS e IR'!$D$6)-'Tabelas INSS e IR'!$E$6,IF($P70&gt;='Tabelas INSS e IR'!$B$5,($P70*'Tabelas INSS e IR'!$D$5)-'Tabelas INSS e IR'!$E$5,$P70*'Tabelas INSS e IR'!$D$4)))))</f>
        <v>0</v>
      </c>
      <c r="R70" s="133">
        <f>IF(OR($G70="EST",$G70="EFE"),0,IF($N70&gt;='Tabelas INSS e IR'!$B$8,'Tabelas INSS e IR'!$D$8,IF($N70&gt;='Tabelas INSS e IR'!$B$7,($N70*'Tabelas INSS e IR'!$D$7)-'Tabelas INSS e IR'!$E$7,IF($N70&gt;='Tabelas INSS e IR'!$B$6,($N70*'Tabelas INSS e IR'!$D$6)-'Tabelas INSS e IR'!$E$6,IF($N70&gt;='Tabelas INSS e IR'!$B$5,($N70*'Tabelas INSS e IR'!$D$5)-'Tabelas INSS e IR'!$E$5,$N70*'Tabelas INSS e IR'!$D$4)))))</f>
        <v>0</v>
      </c>
      <c r="S70" s="132"/>
      <c r="T70" s="294">
        <f>(IF(OR($G70="EST",$G70="EFE"),0,IF((Q70+S70)&gt;'Tabelas INSS e IR'!$D$8,'Tabelas INSS e IR'!$D$8-(S70+R70),(Q70-R70))))</f>
        <v>0</v>
      </c>
      <c r="U70" s="392">
        <v>2955.92</v>
      </c>
      <c r="V70" s="137"/>
      <c r="W70" s="247">
        <f t="shared" si="11"/>
        <v>2955.92</v>
      </c>
      <c r="X70" s="291">
        <f t="shared" si="12"/>
        <v>2081.5</v>
      </c>
      <c r="Y70" s="133">
        <f t="shared" si="13"/>
        <v>5037.42</v>
      </c>
      <c r="Z70" s="133">
        <f>IF($Y70&lt;'Tabelas INSS e IR'!$H$5,0,IF($Y70&lt;'Tabelas INSS e IR'!$H$6,($Y70*'Tabelas INSS e IR'!$J$5)-'Tabelas INSS e IR'!$K$5,IF($Y70&lt;'Tabelas INSS e IR'!$H$7,($Y70*'Tabelas INSS e IR'!$J$6)-'Tabelas INSS e IR'!$K$6,IF($Y70&lt;'Tabelas INSS e IR'!$H$8,($Y70*'Tabelas INSS e IR'!$J$7)-'Tabelas INSS e IR'!$K$7,($Y70*'Tabelas INSS e IR'!$J$8)-'Tabelas INSS e IR'!$K$8))))</f>
        <v>476.56050000000005</v>
      </c>
      <c r="AA70" s="133">
        <f>IF($W70&lt;'Tabelas INSS e IR'!$H$5,0,IF($W70&lt;'Tabelas INSS e IR'!$H$6,($W70*'Tabelas INSS e IR'!$J$5)-'Tabelas INSS e IR'!$K$5,IF($W70&lt;'Tabelas INSS e IR'!$H$7,($W70*'Tabelas INSS e IR'!$J$6)-'Tabelas INSS e IR'!$K$6,IF($W70&lt;'Tabelas INSS e IR'!$H$8,($W70*'Tabelas INSS e IR'!$J$7)-'Tabelas INSS e IR'!$K$7,($W70*'Tabelas INSS e IR'!$J$8)-'Tabelas INSS e IR'!$K$8))))</f>
        <v>49.227999999999952</v>
      </c>
      <c r="AB70" s="294">
        <f t="shared" si="14"/>
        <v>427.3325000000001</v>
      </c>
      <c r="AC70" s="138"/>
      <c r="AD70" s="137"/>
      <c r="AE70" s="139"/>
      <c r="AF70" s="297">
        <f t="shared" si="15"/>
        <v>427.3325000000001</v>
      </c>
      <c r="AG70" s="297">
        <f t="shared" si="16"/>
        <v>1654.1675</v>
      </c>
    </row>
    <row r="71" spans="1:33" s="468" customFormat="1" ht="15" customHeight="1" x14ac:dyDescent="0.25">
      <c r="A71" s="103">
        <v>60</v>
      </c>
      <c r="B71" s="403" t="s">
        <v>306</v>
      </c>
      <c r="C71" s="135">
        <v>29738</v>
      </c>
      <c r="D71" s="104" t="s">
        <v>107</v>
      </c>
      <c r="E71" s="104" t="s">
        <v>228</v>
      </c>
      <c r="F71" s="104" t="s">
        <v>266</v>
      </c>
      <c r="G71" s="104" t="s">
        <v>267</v>
      </c>
      <c r="H71" s="104" t="s">
        <v>307</v>
      </c>
      <c r="I71" s="110" t="s">
        <v>308</v>
      </c>
      <c r="J71" s="104" t="s">
        <v>84</v>
      </c>
      <c r="K71" s="104" t="s">
        <v>309</v>
      </c>
      <c r="L71" s="246">
        <v>0.41</v>
      </c>
      <c r="M71" s="132">
        <f t="shared" si="17"/>
        <v>742.09999999999991</v>
      </c>
      <c r="N71" s="134"/>
      <c r="O71" s="133">
        <f t="shared" si="18"/>
        <v>742.09999999999991</v>
      </c>
      <c r="P71" s="293">
        <f t="shared" si="10"/>
        <v>742.09999999999991</v>
      </c>
      <c r="Q71" s="133">
        <f>IF(OR($G71="EST",$G71="EFE"),0,IF($P71&gt;='Tabelas INSS e IR'!$B$8,'Tabelas INSS e IR'!$D$8,IF($P71&gt;='Tabelas INSS e IR'!$B$7,($P71*'Tabelas INSS e IR'!$D$7)-'Tabelas INSS e IR'!$E$7,IF($P71&gt;='Tabelas INSS e IR'!$B$6,($P71*'Tabelas INSS e IR'!$D$6)-'Tabelas INSS e IR'!$E$6,IF($P71&gt;='Tabelas INSS e IR'!$B$5,($P71*'Tabelas INSS e IR'!$D$5)-'Tabelas INSS e IR'!$E$5,$P71*'Tabelas INSS e IR'!$D$4)))))</f>
        <v>0</v>
      </c>
      <c r="R71" s="133">
        <f>IF(OR($G71="EST",$G71="EFE"),0,IF($N71&gt;='Tabelas INSS e IR'!$B$8,'Tabelas INSS e IR'!$D$8,IF($N71&gt;='Tabelas INSS e IR'!$B$7,($N71*'Tabelas INSS e IR'!$D$7)-'Tabelas INSS e IR'!$E$7,IF($N71&gt;='Tabelas INSS e IR'!$B$6,($N71*'Tabelas INSS e IR'!$D$6)-'Tabelas INSS e IR'!$E$6,IF($N71&gt;='Tabelas INSS e IR'!$B$5,($N71*'Tabelas INSS e IR'!$D$5)-'Tabelas INSS e IR'!$E$5,$N71*'Tabelas INSS e IR'!$D$4)))))</f>
        <v>0</v>
      </c>
      <c r="S71" s="132"/>
      <c r="T71" s="294">
        <f>(IF(OR($G71="EST",$G71="EFE"),0,IF((Q71+S71)&gt;'Tabelas INSS e IR'!$D$8,'Tabelas INSS e IR'!$D$8-(S71+R71),(Q71-R71))))</f>
        <v>0</v>
      </c>
      <c r="U71" s="392">
        <v>4285.79</v>
      </c>
      <c r="V71" s="137"/>
      <c r="W71" s="247">
        <f t="shared" si="11"/>
        <v>4285.79</v>
      </c>
      <c r="X71" s="291">
        <f t="shared" si="12"/>
        <v>742.09999999999991</v>
      </c>
      <c r="Y71" s="133">
        <f t="shared" si="13"/>
        <v>5027.8899999999994</v>
      </c>
      <c r="Z71" s="133">
        <f>IF($Y71&lt;'Tabelas INSS e IR'!$H$5,0,IF($Y71&lt;'Tabelas INSS e IR'!$H$6,($Y71*'Tabelas INSS e IR'!$J$5)-'Tabelas INSS e IR'!$K$5,IF($Y71&lt;'Tabelas INSS e IR'!$H$7,($Y71*'Tabelas INSS e IR'!$J$6)-'Tabelas INSS e IR'!$K$6,IF($Y71&lt;'Tabelas INSS e IR'!$H$8,($Y71*'Tabelas INSS e IR'!$J$7)-'Tabelas INSS e IR'!$K$7,($Y71*'Tabelas INSS e IR'!$J$8)-'Tabelas INSS e IR'!$K$8))))</f>
        <v>473.93975</v>
      </c>
      <c r="AA71" s="133">
        <f>IF($W71&lt;'Tabelas INSS e IR'!$H$5,0,IF($W71&lt;'Tabelas INSS e IR'!$H$6,($W71*'Tabelas INSS e IR'!$J$5)-'Tabelas INSS e IR'!$K$5,IF($W71&lt;'Tabelas INSS e IR'!$H$7,($W71*'Tabelas INSS e IR'!$J$6)-'Tabelas INSS e IR'!$K$6,IF($W71&lt;'Tabelas INSS e IR'!$H$8,($W71*'Tabelas INSS e IR'!$J$7)-'Tabelas INSS e IR'!$K$7,($W71*'Tabelas INSS e IR'!$J$8)-'Tabelas INSS e IR'!$K$8))))</f>
        <v>288.81275000000005</v>
      </c>
      <c r="AB71" s="294">
        <f t="shared" si="14"/>
        <v>185.12699999999995</v>
      </c>
      <c r="AC71" s="138"/>
      <c r="AD71" s="137"/>
      <c r="AE71" s="139"/>
      <c r="AF71" s="297">
        <f t="shared" si="15"/>
        <v>185.12699999999995</v>
      </c>
      <c r="AG71" s="297">
        <f t="shared" si="16"/>
        <v>556.97299999999996</v>
      </c>
    </row>
    <row r="72" spans="1:33" s="468" customFormat="1" ht="15" customHeight="1" x14ac:dyDescent="0.25">
      <c r="A72" s="103">
        <v>61</v>
      </c>
      <c r="B72" s="403" t="s">
        <v>310</v>
      </c>
      <c r="C72" s="135">
        <v>32295</v>
      </c>
      <c r="D72" s="104" t="s">
        <v>311</v>
      </c>
      <c r="E72" s="104" t="s">
        <v>176</v>
      </c>
      <c r="F72" s="104" t="s">
        <v>266</v>
      </c>
      <c r="G72" s="104" t="s">
        <v>267</v>
      </c>
      <c r="H72" s="104" t="s">
        <v>312</v>
      </c>
      <c r="I72" s="148" t="s">
        <v>313</v>
      </c>
      <c r="J72" s="104" t="s">
        <v>84</v>
      </c>
      <c r="K72" s="104" t="s">
        <v>314</v>
      </c>
      <c r="L72" s="246">
        <v>0.6</v>
      </c>
      <c r="M72" s="132">
        <f t="shared" si="17"/>
        <v>1086</v>
      </c>
      <c r="N72" s="134"/>
      <c r="O72" s="133">
        <f t="shared" si="18"/>
        <v>1086</v>
      </c>
      <c r="P72" s="293">
        <f t="shared" si="10"/>
        <v>1086</v>
      </c>
      <c r="Q72" s="133">
        <f>IF(OR($G72="EST",$G72="EFE"),0,IF($P72&gt;='Tabelas INSS e IR'!$B$8,'Tabelas INSS e IR'!$D$8,IF($P72&gt;='Tabelas INSS e IR'!$B$7,($P72*'Tabelas INSS e IR'!$D$7)-'Tabelas INSS e IR'!$E$7,IF($P72&gt;='Tabelas INSS e IR'!$B$6,($P72*'Tabelas INSS e IR'!$D$6)-'Tabelas INSS e IR'!$E$6,IF($P72&gt;='Tabelas INSS e IR'!$B$5,($P72*'Tabelas INSS e IR'!$D$5)-'Tabelas INSS e IR'!$E$5,$P72*'Tabelas INSS e IR'!$D$4)))))</f>
        <v>0</v>
      </c>
      <c r="R72" s="133">
        <f>IF(OR($G72="EST",$G72="EFE"),0,IF($N72&gt;='Tabelas INSS e IR'!$B$8,'Tabelas INSS e IR'!$D$8,IF($N72&gt;='Tabelas INSS e IR'!$B$7,($N72*'Tabelas INSS e IR'!$D$7)-'Tabelas INSS e IR'!$E$7,IF($N72&gt;='Tabelas INSS e IR'!$B$6,($N72*'Tabelas INSS e IR'!$D$6)-'Tabelas INSS e IR'!$E$6,IF($N72&gt;='Tabelas INSS e IR'!$B$5,($N72*'Tabelas INSS e IR'!$D$5)-'Tabelas INSS e IR'!$E$5,$N72*'Tabelas INSS e IR'!$D$4)))))</f>
        <v>0</v>
      </c>
      <c r="S72" s="132"/>
      <c r="T72" s="294">
        <f>(IF(OR($G72="EST",$G72="EFE"),0,IF((Q72+S72)&gt;'Tabelas INSS e IR'!$D$8,'Tabelas INSS e IR'!$D$8-(S72+R72),(Q72-R72))))</f>
        <v>0</v>
      </c>
      <c r="U72" s="392">
        <v>4012.68</v>
      </c>
      <c r="V72" s="137"/>
      <c r="W72" s="247">
        <f t="shared" si="11"/>
        <v>4012.68</v>
      </c>
      <c r="X72" s="291">
        <f t="shared" si="12"/>
        <v>1086</v>
      </c>
      <c r="Y72" s="133">
        <f t="shared" si="13"/>
        <v>5098.68</v>
      </c>
      <c r="Z72" s="133">
        <f>IF($Y72&lt;'Tabelas INSS e IR'!$H$5,0,IF($Y72&lt;'Tabelas INSS e IR'!$H$6,($Y72*'Tabelas INSS e IR'!$J$5)-'Tabelas INSS e IR'!$K$5,IF($Y72&lt;'Tabelas INSS e IR'!$H$7,($Y72*'Tabelas INSS e IR'!$J$6)-'Tabelas INSS e IR'!$K$6,IF($Y72&lt;'Tabelas INSS e IR'!$H$8,($Y72*'Tabelas INSS e IR'!$J$7)-'Tabelas INSS e IR'!$K$7,($Y72*'Tabelas INSS e IR'!$J$8)-'Tabelas INSS e IR'!$K$8))))</f>
        <v>493.40700000000015</v>
      </c>
      <c r="AA72" s="133">
        <f>IF($W72&lt;'Tabelas INSS e IR'!$H$5,0,IF($W72&lt;'Tabelas INSS e IR'!$H$6,($W72*'Tabelas INSS e IR'!$J$5)-'Tabelas INSS e IR'!$K$5,IF($W72&lt;'Tabelas INSS e IR'!$H$7,($W72*'Tabelas INSS e IR'!$J$6)-'Tabelas INSS e IR'!$K$6,IF($W72&lt;'Tabelas INSS e IR'!$H$8,($W72*'Tabelas INSS e IR'!$J$7)-'Tabelas INSS e IR'!$K$7,($W72*'Tabelas INSS e IR'!$J$8)-'Tabelas INSS e IR'!$K$8))))</f>
        <v>227.36299999999994</v>
      </c>
      <c r="AB72" s="294">
        <f t="shared" si="14"/>
        <v>266.04400000000021</v>
      </c>
      <c r="AC72" s="138"/>
      <c r="AD72" s="137"/>
      <c r="AE72" s="139"/>
      <c r="AF72" s="297">
        <f t="shared" si="15"/>
        <v>266.04400000000021</v>
      </c>
      <c r="AG72" s="297">
        <f t="shared" si="16"/>
        <v>819.95599999999979</v>
      </c>
    </row>
    <row r="73" spans="1:33" s="468" customFormat="1" ht="15" customHeight="1" x14ac:dyDescent="0.25">
      <c r="A73" s="104">
        <v>62</v>
      </c>
      <c r="B73" s="403" t="s">
        <v>315</v>
      </c>
      <c r="C73" s="135">
        <v>30579</v>
      </c>
      <c r="D73" s="104" t="s">
        <v>127</v>
      </c>
      <c r="E73" s="104" t="s">
        <v>316</v>
      </c>
      <c r="F73" s="104" t="s">
        <v>266</v>
      </c>
      <c r="G73" s="104" t="s">
        <v>267</v>
      </c>
      <c r="H73" s="104" t="s">
        <v>317</v>
      </c>
      <c r="I73" s="110" t="s">
        <v>318</v>
      </c>
      <c r="J73" s="104" t="s">
        <v>84</v>
      </c>
      <c r="K73" s="104" t="s">
        <v>319</v>
      </c>
      <c r="L73" s="246">
        <v>0.41</v>
      </c>
      <c r="M73" s="132">
        <f t="shared" si="17"/>
        <v>742.09999999999991</v>
      </c>
      <c r="N73" s="134"/>
      <c r="O73" s="133">
        <f t="shared" si="18"/>
        <v>742.09999999999991</v>
      </c>
      <c r="P73" s="293">
        <f t="shared" si="10"/>
        <v>742.09999999999991</v>
      </c>
      <c r="Q73" s="133">
        <f>IF(OR($G73="EST",$G73="EFE"),0,IF($P73&gt;='Tabelas INSS e IR'!$B$8,'Tabelas INSS e IR'!$D$8,IF($P73&gt;='Tabelas INSS e IR'!$B$7,($P73*'Tabelas INSS e IR'!$D$7)-'Tabelas INSS e IR'!$E$7,IF($P73&gt;='Tabelas INSS e IR'!$B$6,($P73*'Tabelas INSS e IR'!$D$6)-'Tabelas INSS e IR'!$E$6,IF($P73&gt;='Tabelas INSS e IR'!$B$5,($P73*'Tabelas INSS e IR'!$D$5)-'Tabelas INSS e IR'!$E$5,$P73*'Tabelas INSS e IR'!$D$4)))))</f>
        <v>0</v>
      </c>
      <c r="R73" s="133">
        <f>IF(OR($G73="EST",$G73="EFE"),0,IF($N73&gt;='Tabelas INSS e IR'!$B$8,'Tabelas INSS e IR'!$D$8,IF($N73&gt;='Tabelas INSS e IR'!$B$7,($N73*'Tabelas INSS e IR'!$D$7)-'Tabelas INSS e IR'!$E$7,IF($N73&gt;='Tabelas INSS e IR'!$B$6,($N73*'Tabelas INSS e IR'!$D$6)-'Tabelas INSS e IR'!$E$6,IF($N73&gt;='Tabelas INSS e IR'!$B$5,($N73*'Tabelas INSS e IR'!$D$5)-'Tabelas INSS e IR'!$E$5,$N73*'Tabelas INSS e IR'!$D$4)))))</f>
        <v>0</v>
      </c>
      <c r="S73" s="132"/>
      <c r="T73" s="294">
        <f>(IF(OR($G73="EST",$G73="EFE"),0,IF((Q73+S73)&gt;'Tabelas INSS e IR'!$D$8,'Tabelas INSS e IR'!$D$8-(S73+R73),(Q73-R73))))</f>
        <v>0</v>
      </c>
      <c r="U73" s="392">
        <v>4940.54</v>
      </c>
      <c r="V73" s="137"/>
      <c r="W73" s="247">
        <f t="shared" si="11"/>
        <v>4940.54</v>
      </c>
      <c r="X73" s="291">
        <f t="shared" si="12"/>
        <v>742.09999999999991</v>
      </c>
      <c r="Y73" s="133">
        <f t="shared" si="13"/>
        <v>5682.6399999999994</v>
      </c>
      <c r="Z73" s="133">
        <f>IF($Y73&lt;'Tabelas INSS e IR'!$H$5,0,IF($Y73&lt;'Tabelas INSS e IR'!$H$6,($Y73*'Tabelas INSS e IR'!$J$5)-'Tabelas INSS e IR'!$K$5,IF($Y73&lt;'Tabelas INSS e IR'!$H$7,($Y73*'Tabelas INSS e IR'!$J$6)-'Tabelas INSS e IR'!$K$6,IF($Y73&lt;'Tabelas INSS e IR'!$H$8,($Y73*'Tabelas INSS e IR'!$J$7)-'Tabelas INSS e IR'!$K$7,($Y73*'Tabelas INSS e IR'!$J$8)-'Tabelas INSS e IR'!$K$8))))</f>
        <v>653.99599999999987</v>
      </c>
      <c r="AA73" s="133">
        <f>IF($W73&lt;'Tabelas INSS e IR'!$H$5,0,IF($W73&lt;'Tabelas INSS e IR'!$H$6,($W73*'Tabelas INSS e IR'!$J$5)-'Tabelas INSS e IR'!$K$5,IF($W73&lt;'Tabelas INSS e IR'!$H$7,($W73*'Tabelas INSS e IR'!$J$6)-'Tabelas INSS e IR'!$K$6,IF($W73&lt;'Tabelas INSS e IR'!$H$8,($W73*'Tabelas INSS e IR'!$J$7)-'Tabelas INSS e IR'!$K$7,($W73*'Tabelas INSS e IR'!$J$8)-'Tabelas INSS e IR'!$K$8))))</f>
        <v>449.91849999999999</v>
      </c>
      <c r="AB73" s="294">
        <f t="shared" si="14"/>
        <v>204.07749999999987</v>
      </c>
      <c r="AC73" s="138"/>
      <c r="AD73" s="137"/>
      <c r="AE73" s="139"/>
      <c r="AF73" s="297">
        <f t="shared" si="15"/>
        <v>204.07749999999987</v>
      </c>
      <c r="AG73" s="297">
        <f t="shared" si="16"/>
        <v>538.02250000000004</v>
      </c>
    </row>
    <row r="74" spans="1:33" s="468" customFormat="1" ht="15" customHeight="1" x14ac:dyDescent="0.25">
      <c r="A74" s="103">
        <v>63</v>
      </c>
      <c r="B74" s="403" t="s">
        <v>320</v>
      </c>
      <c r="C74" s="135">
        <v>31474</v>
      </c>
      <c r="D74" s="104" t="s">
        <v>321</v>
      </c>
      <c r="E74" s="104" t="s">
        <v>230</v>
      </c>
      <c r="F74" s="104" t="s">
        <v>266</v>
      </c>
      <c r="G74" s="104" t="s">
        <v>267</v>
      </c>
      <c r="H74" s="104">
        <v>273727</v>
      </c>
      <c r="I74" s="148" t="s">
        <v>322</v>
      </c>
      <c r="J74" s="104" t="s">
        <v>84</v>
      </c>
      <c r="K74" s="104">
        <v>32663</v>
      </c>
      <c r="L74" s="246">
        <v>1.1000000000000001</v>
      </c>
      <c r="M74" s="132">
        <f t="shared" si="17"/>
        <v>1991.0000000000002</v>
      </c>
      <c r="N74" s="134"/>
      <c r="O74" s="133">
        <f t="shared" si="18"/>
        <v>1991.0000000000002</v>
      </c>
      <c r="P74" s="293">
        <f t="shared" si="10"/>
        <v>1991.0000000000002</v>
      </c>
      <c r="Q74" s="133">
        <f>IF(OR($G74="EST",$G74="EFE"),0,IF($P74&gt;='Tabelas INSS e IR'!$B$8,'Tabelas INSS e IR'!$D$8,IF($P74&gt;='Tabelas INSS e IR'!$B$7,($P74*'Tabelas INSS e IR'!$D$7)-'Tabelas INSS e IR'!$E$7,IF($P74&gt;='Tabelas INSS e IR'!$B$6,($P74*'Tabelas INSS e IR'!$D$6)-'Tabelas INSS e IR'!$E$6,IF($P74&gt;='Tabelas INSS e IR'!$B$5,($P74*'Tabelas INSS e IR'!$D$5)-'Tabelas INSS e IR'!$E$5,$P74*'Tabelas INSS e IR'!$D$4)))))</f>
        <v>0</v>
      </c>
      <c r="R74" s="133">
        <f>IF(OR($G74="EST",$G74="EFE"),0,IF($N74&gt;='Tabelas INSS e IR'!$B$8,'Tabelas INSS e IR'!$D$8,IF($N74&gt;='Tabelas INSS e IR'!$B$7,($N74*'Tabelas INSS e IR'!$D$7)-'Tabelas INSS e IR'!$E$7,IF($N74&gt;='Tabelas INSS e IR'!$B$6,($N74*'Tabelas INSS e IR'!$D$6)-'Tabelas INSS e IR'!$E$6,IF($N74&gt;='Tabelas INSS e IR'!$B$5,($N74*'Tabelas INSS e IR'!$D$5)-'Tabelas INSS e IR'!$E$5,$N74*'Tabelas INSS e IR'!$D$4)))))</f>
        <v>0</v>
      </c>
      <c r="S74" s="132"/>
      <c r="T74" s="294">
        <f>(IF(OR($G74="EST",$G74="EFE"),0,IF((Q74+S74)&gt;'Tabelas INSS e IR'!$D$8,'Tabelas INSS e IR'!$D$8-(S74+R74),(Q74-R74))))</f>
        <v>0</v>
      </c>
      <c r="U74" s="392">
        <v>18327.87</v>
      </c>
      <c r="V74" s="137"/>
      <c r="W74" s="247">
        <f t="shared" si="11"/>
        <v>18327.87</v>
      </c>
      <c r="X74" s="291">
        <f t="shared" si="12"/>
        <v>1991.0000000000002</v>
      </c>
      <c r="Y74" s="133">
        <f t="shared" si="13"/>
        <v>20318.87</v>
      </c>
      <c r="Z74" s="133">
        <f>IF($Y74&lt;'Tabelas INSS e IR'!$H$5,0,IF($Y74&lt;'Tabelas INSS e IR'!$H$6,($Y74*'Tabelas INSS e IR'!$J$5)-'Tabelas INSS e IR'!$K$5,IF($Y74&lt;'Tabelas INSS e IR'!$H$7,($Y74*'Tabelas INSS e IR'!$J$6)-'Tabelas INSS e IR'!$K$6,IF($Y74&lt;'Tabelas INSS e IR'!$H$8,($Y74*'Tabelas INSS e IR'!$J$7)-'Tabelas INSS e IR'!$K$7,($Y74*'Tabelas INSS e IR'!$J$8)-'Tabelas INSS e IR'!$K$8))))</f>
        <v>4678.9592499999999</v>
      </c>
      <c r="AA74" s="133">
        <f>IF($W74&lt;'Tabelas INSS e IR'!$H$5,0,IF($W74&lt;'Tabelas INSS e IR'!$H$6,($W74*'Tabelas INSS e IR'!$J$5)-'Tabelas INSS e IR'!$K$5,IF($W74&lt;'Tabelas INSS e IR'!$H$7,($W74*'Tabelas INSS e IR'!$J$6)-'Tabelas INSS e IR'!$K$6,IF($W74&lt;'Tabelas INSS e IR'!$H$8,($W74*'Tabelas INSS e IR'!$J$7)-'Tabelas INSS e IR'!$K$7,($W74*'Tabelas INSS e IR'!$J$8)-'Tabelas INSS e IR'!$K$8))))</f>
        <v>4131.4342500000002</v>
      </c>
      <c r="AB74" s="294">
        <f t="shared" si="14"/>
        <v>547.52499999999964</v>
      </c>
      <c r="AC74" s="138"/>
      <c r="AD74" s="137"/>
      <c r="AE74" s="139"/>
      <c r="AF74" s="297">
        <f t="shared" si="15"/>
        <v>547.52499999999964</v>
      </c>
      <c r="AG74" s="297">
        <f t="shared" si="16"/>
        <v>1443.4750000000006</v>
      </c>
    </row>
    <row r="75" spans="1:33" s="468" customFormat="1" ht="15" customHeight="1" x14ac:dyDescent="0.25">
      <c r="A75" s="103">
        <v>64</v>
      </c>
      <c r="B75" s="403" t="s">
        <v>323</v>
      </c>
      <c r="C75" s="135">
        <v>30035</v>
      </c>
      <c r="D75" s="104" t="s">
        <v>191</v>
      </c>
      <c r="E75" s="104" t="s">
        <v>182</v>
      </c>
      <c r="F75" s="104" t="s">
        <v>266</v>
      </c>
      <c r="G75" s="104" t="s">
        <v>267</v>
      </c>
      <c r="H75" s="104" t="s">
        <v>324</v>
      </c>
      <c r="I75" s="148" t="s">
        <v>325</v>
      </c>
      <c r="J75" s="104" t="s">
        <v>84</v>
      </c>
      <c r="K75" s="104" t="s">
        <v>326</v>
      </c>
      <c r="L75" s="246">
        <v>0.75</v>
      </c>
      <c r="M75" s="132">
        <f t="shared" si="17"/>
        <v>1357.5</v>
      </c>
      <c r="N75" s="134"/>
      <c r="O75" s="133">
        <f t="shared" si="18"/>
        <v>1357.5</v>
      </c>
      <c r="P75" s="293">
        <f t="shared" si="10"/>
        <v>1357.5</v>
      </c>
      <c r="Q75" s="133">
        <f>IF(OR($G75="EST",$G75="EFE"),0,IF($P75&gt;='Tabelas INSS e IR'!$B$8,'Tabelas INSS e IR'!$D$8,IF($P75&gt;='Tabelas INSS e IR'!$B$7,($P75*'Tabelas INSS e IR'!$D$7)-'Tabelas INSS e IR'!$E$7,IF($P75&gt;='Tabelas INSS e IR'!$B$6,($P75*'Tabelas INSS e IR'!$D$6)-'Tabelas INSS e IR'!$E$6,IF($P75&gt;='Tabelas INSS e IR'!$B$5,($P75*'Tabelas INSS e IR'!$D$5)-'Tabelas INSS e IR'!$E$5,$P75*'Tabelas INSS e IR'!$D$4)))))</f>
        <v>0</v>
      </c>
      <c r="R75" s="133">
        <f>IF(OR($G75="EST",$G75="EFE"),0,IF($N75&gt;='Tabelas INSS e IR'!$B$8,'Tabelas INSS e IR'!$D$8,IF($N75&gt;='Tabelas INSS e IR'!$B$7,($N75*'Tabelas INSS e IR'!$D$7)-'Tabelas INSS e IR'!$E$7,IF($N75&gt;='Tabelas INSS e IR'!$B$6,($N75*'Tabelas INSS e IR'!$D$6)-'Tabelas INSS e IR'!$E$6,IF($N75&gt;='Tabelas INSS e IR'!$B$5,($N75*'Tabelas INSS e IR'!$D$5)-'Tabelas INSS e IR'!$E$5,$N75*'Tabelas INSS e IR'!$D$4)))))</f>
        <v>0</v>
      </c>
      <c r="S75" s="132"/>
      <c r="T75" s="294">
        <f>(IF(OR($G75="EST",$G75="EFE"),0,IF((Q75+S75)&gt;'Tabelas INSS e IR'!$D$8,'Tabelas INSS e IR'!$D$8-(S75+R75),(Q75-R75))))</f>
        <v>0</v>
      </c>
      <c r="U75" s="392">
        <v>3592.98</v>
      </c>
      <c r="V75" s="137"/>
      <c r="W75" s="247">
        <f t="shared" si="11"/>
        <v>3592.98</v>
      </c>
      <c r="X75" s="291">
        <f t="shared" si="12"/>
        <v>1357.5</v>
      </c>
      <c r="Y75" s="133">
        <f t="shared" si="13"/>
        <v>4950.4799999999996</v>
      </c>
      <c r="Z75" s="133">
        <f>IF($Y75&lt;'Tabelas INSS e IR'!$H$5,0,IF($Y75&lt;'Tabelas INSS e IR'!$H$6,($Y75*'Tabelas INSS e IR'!$J$5)-'Tabelas INSS e IR'!$K$5,IF($Y75&lt;'Tabelas INSS e IR'!$H$7,($Y75*'Tabelas INSS e IR'!$J$6)-'Tabelas INSS e IR'!$K$6,IF($Y75&lt;'Tabelas INSS e IR'!$H$8,($Y75*'Tabelas INSS e IR'!$J$7)-'Tabelas INSS e IR'!$K$7,($Y75*'Tabelas INSS e IR'!$J$8)-'Tabelas INSS e IR'!$K$8))))</f>
        <v>452.65200000000004</v>
      </c>
      <c r="AA75" s="133">
        <f>IF($W75&lt;'Tabelas INSS e IR'!$H$5,0,IF($W75&lt;'Tabelas INSS e IR'!$H$6,($W75*'Tabelas INSS e IR'!$J$5)-'Tabelas INSS e IR'!$K$5,IF($W75&lt;'Tabelas INSS e IR'!$H$7,($W75*'Tabelas INSS e IR'!$J$6)-'Tabelas INSS e IR'!$K$6,IF($W75&lt;'Tabelas INSS e IR'!$H$8,($W75*'Tabelas INSS e IR'!$J$7)-'Tabelas INSS e IR'!$K$7,($W75*'Tabelas INSS e IR'!$J$8)-'Tabelas INSS e IR'!$K$8))))</f>
        <v>144.78699999999998</v>
      </c>
      <c r="AB75" s="294">
        <f t="shared" si="14"/>
        <v>307.86500000000007</v>
      </c>
      <c r="AC75" s="138"/>
      <c r="AD75" s="137"/>
      <c r="AE75" s="139"/>
      <c r="AF75" s="297">
        <f t="shared" si="15"/>
        <v>307.86500000000007</v>
      </c>
      <c r="AG75" s="297">
        <f t="shared" si="16"/>
        <v>1049.635</v>
      </c>
    </row>
    <row r="76" spans="1:33" s="468" customFormat="1" ht="15" customHeight="1" x14ac:dyDescent="0.25">
      <c r="A76" s="103">
        <v>65</v>
      </c>
      <c r="B76" s="403" t="s">
        <v>327</v>
      </c>
      <c r="C76" s="135">
        <v>32295</v>
      </c>
      <c r="D76" s="104" t="s">
        <v>61</v>
      </c>
      <c r="E76" s="104" t="s">
        <v>328</v>
      </c>
      <c r="F76" s="104" t="s">
        <v>266</v>
      </c>
      <c r="G76" s="104" t="s">
        <v>267</v>
      </c>
      <c r="H76" s="136" t="s">
        <v>329</v>
      </c>
      <c r="I76" s="148" t="s">
        <v>330</v>
      </c>
      <c r="J76" s="104" t="s">
        <v>84</v>
      </c>
      <c r="K76" s="104" t="s">
        <v>331</v>
      </c>
      <c r="L76" s="246">
        <v>1.5</v>
      </c>
      <c r="M76" s="132">
        <f t="shared" si="17"/>
        <v>2715</v>
      </c>
      <c r="N76" s="134"/>
      <c r="O76" s="133">
        <f t="shared" si="18"/>
        <v>2715</v>
      </c>
      <c r="P76" s="293">
        <f t="shared" si="10"/>
        <v>2715</v>
      </c>
      <c r="Q76" s="133">
        <f>IF(OR($G76="EST",$G76="EFE"),0,IF($P76&gt;='Tabelas INSS e IR'!$B$8,'Tabelas INSS e IR'!$D$8,IF($P76&gt;='Tabelas INSS e IR'!$B$7,($P76*'Tabelas INSS e IR'!$D$7)-'Tabelas INSS e IR'!$E$7,IF($P76&gt;='Tabelas INSS e IR'!$B$6,($P76*'Tabelas INSS e IR'!$D$6)-'Tabelas INSS e IR'!$E$6,IF($P76&gt;='Tabelas INSS e IR'!$B$5,($P76*'Tabelas INSS e IR'!$D$5)-'Tabelas INSS e IR'!$E$5,$P76*'Tabelas INSS e IR'!$D$4)))))</f>
        <v>0</v>
      </c>
      <c r="R76" s="133">
        <f>IF(OR($G76="EST",$G76="EFE"),0,IF($N76&gt;='Tabelas INSS e IR'!$B$8,'Tabelas INSS e IR'!$D$8,IF($N76&gt;='Tabelas INSS e IR'!$B$7,($N76*'Tabelas INSS e IR'!$D$7)-'Tabelas INSS e IR'!$E$7,IF($N76&gt;='Tabelas INSS e IR'!$B$6,($N76*'Tabelas INSS e IR'!$D$6)-'Tabelas INSS e IR'!$E$6,IF($N76&gt;='Tabelas INSS e IR'!$B$5,($N76*'Tabelas INSS e IR'!$D$5)-'Tabelas INSS e IR'!$E$5,$N76*'Tabelas INSS e IR'!$D$4)))))</f>
        <v>0</v>
      </c>
      <c r="S76" s="132"/>
      <c r="T76" s="294">
        <f>(IF(OR($G76="EST",$G76="EFE"),0,IF((Q76+S76)&gt;'Tabelas INSS e IR'!$D$8,'Tabelas INSS e IR'!$D$8-(S76+R76),(Q76-R76))))</f>
        <v>0</v>
      </c>
      <c r="U76" s="392">
        <v>2468.6</v>
      </c>
      <c r="V76" s="163"/>
      <c r="W76" s="247">
        <f t="shared" si="11"/>
        <v>2468.6</v>
      </c>
      <c r="X76" s="291">
        <f t="shared" si="12"/>
        <v>2715</v>
      </c>
      <c r="Y76" s="133">
        <f t="shared" si="13"/>
        <v>5183.6000000000004</v>
      </c>
      <c r="Z76" s="133">
        <f>IF($Y76&lt;'Tabelas INSS e IR'!$H$5,0,IF($Y76&lt;'Tabelas INSS e IR'!$H$6,($Y76*'Tabelas INSS e IR'!$J$5)-'Tabelas INSS e IR'!$K$5,IF($Y76&lt;'Tabelas INSS e IR'!$H$7,($Y76*'Tabelas INSS e IR'!$J$6)-'Tabelas INSS e IR'!$K$6,IF($Y76&lt;'Tabelas INSS e IR'!$H$8,($Y76*'Tabelas INSS e IR'!$J$7)-'Tabelas INSS e IR'!$K$7,($Y76*'Tabelas INSS e IR'!$J$8)-'Tabelas INSS e IR'!$K$8))))</f>
        <v>516.76000000000022</v>
      </c>
      <c r="AA76" s="133">
        <f>IF($W76&lt;'Tabelas INSS e IR'!$H$5,0,IF($W76&lt;'Tabelas INSS e IR'!$H$6,($W76*'Tabelas INSS e IR'!$J$5)-'Tabelas INSS e IR'!$K$5,IF($W76&lt;'Tabelas INSS e IR'!$H$7,($W76*'Tabelas INSS e IR'!$J$6)-'Tabelas INSS e IR'!$K$6,IF($W76&lt;'Tabelas INSS e IR'!$H$8,($W76*'Tabelas INSS e IR'!$J$7)-'Tabelas INSS e IR'!$K$7,($W76*'Tabelas INSS e IR'!$J$8)-'Tabelas INSS e IR'!$K$8))))</f>
        <v>2.9849999999999568</v>
      </c>
      <c r="AB76" s="294">
        <f t="shared" si="14"/>
        <v>513.77500000000032</v>
      </c>
      <c r="AC76" s="169">
        <f>((M76-AB76)*15%)</f>
        <v>330.18374999999992</v>
      </c>
      <c r="AD76" s="137"/>
      <c r="AE76" s="139"/>
      <c r="AF76" s="297">
        <f t="shared" si="15"/>
        <v>843.95875000000024</v>
      </c>
      <c r="AG76" s="297">
        <f t="shared" si="16"/>
        <v>1871.0412499999998</v>
      </c>
    </row>
    <row r="77" spans="1:33" s="470" customFormat="1" ht="15" customHeight="1" x14ac:dyDescent="0.25">
      <c r="A77" s="104">
        <v>66</v>
      </c>
      <c r="B77" s="403" t="s">
        <v>332</v>
      </c>
      <c r="C77" s="135">
        <v>32343</v>
      </c>
      <c r="D77" s="104" t="s">
        <v>170</v>
      </c>
      <c r="E77" s="104" t="s">
        <v>182</v>
      </c>
      <c r="F77" s="104" t="s">
        <v>266</v>
      </c>
      <c r="G77" s="104" t="s">
        <v>267</v>
      </c>
      <c r="H77" s="136">
        <v>729065</v>
      </c>
      <c r="I77" s="148" t="s">
        <v>333</v>
      </c>
      <c r="J77" s="104" t="s">
        <v>203</v>
      </c>
      <c r="K77" s="104" t="s">
        <v>334</v>
      </c>
      <c r="L77" s="312">
        <v>0.41</v>
      </c>
      <c r="M77" s="132">
        <f t="shared" si="17"/>
        <v>742.09999999999991</v>
      </c>
      <c r="N77" s="134"/>
      <c r="O77" s="133">
        <f t="shared" si="18"/>
        <v>742.09999999999991</v>
      </c>
      <c r="P77" s="293">
        <f t="shared" si="10"/>
        <v>742.09999999999991</v>
      </c>
      <c r="Q77" s="133">
        <f>IF(OR($G77="EST",$G77="EFE"),0,IF($P77&gt;='Tabelas INSS e IR'!$B$8,'Tabelas INSS e IR'!$D$8,IF($P77&gt;='Tabelas INSS e IR'!$B$7,($P77*'Tabelas INSS e IR'!$D$7)-'Tabelas INSS e IR'!$E$7,IF($P77&gt;='Tabelas INSS e IR'!$B$6,($P77*'Tabelas INSS e IR'!$D$6)-'Tabelas INSS e IR'!$E$6,IF($P77&gt;='Tabelas INSS e IR'!$B$5,($P77*'Tabelas INSS e IR'!$D$5)-'Tabelas INSS e IR'!$E$5,$P77*'Tabelas INSS e IR'!$D$4)))))</f>
        <v>0</v>
      </c>
      <c r="R77" s="133">
        <f>IF(OR($G77="EST",$G77="EFE"),0,IF($N77&gt;='Tabelas INSS e IR'!$B$8,'Tabelas INSS e IR'!$D$8,IF($N77&gt;='Tabelas INSS e IR'!$B$7,($N77*'Tabelas INSS e IR'!$D$7)-'Tabelas INSS e IR'!$E$7,IF($N77&gt;='Tabelas INSS e IR'!$B$6,($N77*'Tabelas INSS e IR'!$D$6)-'Tabelas INSS e IR'!$E$6,IF($N77&gt;='Tabelas INSS e IR'!$B$5,($N77*'Tabelas INSS e IR'!$D$5)-'Tabelas INSS e IR'!$E$5,$N77*'Tabelas INSS e IR'!$D$4)))))</f>
        <v>0</v>
      </c>
      <c r="S77" s="132"/>
      <c r="T77" s="294">
        <f>(IF(OR($G77="EST",$G77="EFE"),0,IF((Q77+S77)&gt;'Tabelas INSS e IR'!$D$8,'Tabelas INSS e IR'!$D$8-(S77+R77),(Q77-R77))))</f>
        <v>0</v>
      </c>
      <c r="U77" s="478">
        <v>3946.26</v>
      </c>
      <c r="V77" s="141"/>
      <c r="W77" s="247">
        <f t="shared" si="11"/>
        <v>3946.26</v>
      </c>
      <c r="X77" s="291">
        <f t="shared" si="12"/>
        <v>742.09999999999991</v>
      </c>
      <c r="Y77" s="133">
        <f t="shared" si="13"/>
        <v>4688.3600000000006</v>
      </c>
      <c r="Z77" s="133">
        <f>IF($Y77&lt;'Tabelas INSS e IR'!$H$5,0,IF($Y77&lt;'Tabelas INSS e IR'!$H$6,($Y77*'Tabelas INSS e IR'!$J$5)-'Tabelas INSS e IR'!$K$5,IF($Y77&lt;'Tabelas INSS e IR'!$H$7,($Y77*'Tabelas INSS e IR'!$J$6)-'Tabelas INSS e IR'!$K$6,IF($Y77&lt;'Tabelas INSS e IR'!$H$8,($Y77*'Tabelas INSS e IR'!$J$7)-'Tabelas INSS e IR'!$K$7,($Y77*'Tabelas INSS e IR'!$J$8)-'Tabelas INSS e IR'!$K$8))))</f>
        <v>380.56900000000019</v>
      </c>
      <c r="AA77" s="133">
        <f>IF($W77&lt;'Tabelas INSS e IR'!$H$5,0,IF($W77&lt;'Tabelas INSS e IR'!$H$6,($W77*'Tabelas INSS e IR'!$J$5)-'Tabelas INSS e IR'!$K$5,IF($W77&lt;'Tabelas INSS e IR'!$H$7,($W77*'Tabelas INSS e IR'!$J$6)-'Tabelas INSS e IR'!$K$6,IF($W77&lt;'Tabelas INSS e IR'!$H$8,($W77*'Tabelas INSS e IR'!$J$7)-'Tabelas INSS e IR'!$K$7,($W77*'Tabelas INSS e IR'!$J$8)-'Tabelas INSS e IR'!$K$8))))</f>
        <v>212.41850000000011</v>
      </c>
      <c r="AB77" s="294">
        <f t="shared" si="14"/>
        <v>168.15050000000008</v>
      </c>
      <c r="AC77" s="138"/>
      <c r="AD77" s="144"/>
      <c r="AE77" s="145"/>
      <c r="AF77" s="297">
        <f t="shared" si="15"/>
        <v>168.15050000000008</v>
      </c>
      <c r="AG77" s="297">
        <f t="shared" si="16"/>
        <v>573.94949999999983</v>
      </c>
    </row>
    <row r="78" spans="1:33" s="468" customFormat="1" ht="15" customHeight="1" x14ac:dyDescent="0.25">
      <c r="A78" s="103">
        <v>67</v>
      </c>
      <c r="B78" s="403" t="s">
        <v>335</v>
      </c>
      <c r="C78" s="135">
        <v>31240</v>
      </c>
      <c r="D78" s="104" t="s">
        <v>61</v>
      </c>
      <c r="E78" s="104" t="s">
        <v>176</v>
      </c>
      <c r="F78" s="104" t="s">
        <v>266</v>
      </c>
      <c r="G78" s="104" t="s">
        <v>267</v>
      </c>
      <c r="H78" s="104" t="s">
        <v>336</v>
      </c>
      <c r="I78" s="148" t="s">
        <v>337</v>
      </c>
      <c r="J78" s="104" t="s">
        <v>84</v>
      </c>
      <c r="K78" s="104" t="s">
        <v>338</v>
      </c>
      <c r="L78" s="246">
        <v>1.5</v>
      </c>
      <c r="M78" s="132">
        <f t="shared" si="17"/>
        <v>2715</v>
      </c>
      <c r="N78" s="134"/>
      <c r="O78" s="133">
        <f t="shared" si="18"/>
        <v>2715</v>
      </c>
      <c r="P78" s="293">
        <f t="shared" ref="P78:P108" si="19">N78+O78</f>
        <v>2715</v>
      </c>
      <c r="Q78" s="133">
        <f>IF(OR($G78="EST",$G78="EFE"),0,IF($P78&gt;='Tabelas INSS e IR'!$B$8,'Tabelas INSS e IR'!$D$8,IF($P78&gt;='Tabelas INSS e IR'!$B$7,($P78*'Tabelas INSS e IR'!$D$7)-'Tabelas INSS e IR'!$E$7,IF($P78&gt;='Tabelas INSS e IR'!$B$6,($P78*'Tabelas INSS e IR'!$D$6)-'Tabelas INSS e IR'!$E$6,IF($P78&gt;='Tabelas INSS e IR'!$B$5,($P78*'Tabelas INSS e IR'!$D$5)-'Tabelas INSS e IR'!$E$5,$P78*'Tabelas INSS e IR'!$D$4)))))</f>
        <v>0</v>
      </c>
      <c r="R78" s="133">
        <f>IF(OR($G78="EST",$G78="EFE"),0,IF($N78&gt;='Tabelas INSS e IR'!$B$8,'Tabelas INSS e IR'!$D$8,IF($N78&gt;='Tabelas INSS e IR'!$B$7,($N78*'Tabelas INSS e IR'!$D$7)-'Tabelas INSS e IR'!$E$7,IF($N78&gt;='Tabelas INSS e IR'!$B$6,($N78*'Tabelas INSS e IR'!$D$6)-'Tabelas INSS e IR'!$E$6,IF($N78&gt;='Tabelas INSS e IR'!$B$5,($N78*'Tabelas INSS e IR'!$D$5)-'Tabelas INSS e IR'!$E$5,$N78*'Tabelas INSS e IR'!$D$4)))))</f>
        <v>0</v>
      </c>
      <c r="S78" s="132"/>
      <c r="T78" s="294">
        <f>(IF(OR($G78="EST",$G78="EFE"),0,IF((Q78+S78)&gt;'Tabelas INSS e IR'!$D$8,'Tabelas INSS e IR'!$D$8-(S78+R78),(Q78-R78))))</f>
        <v>0</v>
      </c>
      <c r="U78" s="392">
        <v>4566.8999999999996</v>
      </c>
      <c r="V78" s="170"/>
      <c r="W78" s="247">
        <f t="shared" ref="W78:W108" si="20">U78-V78</f>
        <v>4566.8999999999996</v>
      </c>
      <c r="X78" s="291">
        <f t="shared" ref="X78:X108" si="21">O78-T78</f>
        <v>2715</v>
      </c>
      <c r="Y78" s="133">
        <f t="shared" ref="Y78:Y108" si="22">W78+X78</f>
        <v>7281.9</v>
      </c>
      <c r="Z78" s="133">
        <f>IF($Y78&lt;'Tabelas INSS e IR'!$H$5,0,IF($Y78&lt;'Tabelas INSS e IR'!$H$6,($Y78*'Tabelas INSS e IR'!$J$5)-'Tabelas INSS e IR'!$K$5,IF($Y78&lt;'Tabelas INSS e IR'!$H$7,($Y78*'Tabelas INSS e IR'!$J$6)-'Tabelas INSS e IR'!$K$6,IF($Y78&lt;'Tabelas INSS e IR'!$H$8,($Y78*'Tabelas INSS e IR'!$J$7)-'Tabelas INSS e IR'!$K$7,($Y78*'Tabelas INSS e IR'!$J$8)-'Tabelas INSS e IR'!$K$8))))</f>
        <v>1093.7925</v>
      </c>
      <c r="AA78" s="133">
        <f>IF($W78&lt;'Tabelas INSS e IR'!$H$5,0,IF($W78&lt;'Tabelas INSS e IR'!$H$6,($W78*'Tabelas INSS e IR'!$J$5)-'Tabelas INSS e IR'!$K$5,IF($W78&lt;'Tabelas INSS e IR'!$H$7,($W78*'Tabelas INSS e IR'!$J$6)-'Tabelas INSS e IR'!$K$6,IF($W78&lt;'Tabelas INSS e IR'!$H$8,($W78*'Tabelas INSS e IR'!$J$7)-'Tabelas INSS e IR'!$K$7,($W78*'Tabelas INSS e IR'!$J$8)-'Tabelas INSS e IR'!$K$8))))</f>
        <v>352.0625</v>
      </c>
      <c r="AB78" s="294">
        <f t="shared" ref="AB78:AB108" si="23">Z78-AA78</f>
        <v>741.73</v>
      </c>
      <c r="AC78" s="138"/>
      <c r="AD78" s="137"/>
      <c r="AE78" s="139"/>
      <c r="AF78" s="297">
        <f t="shared" ref="AF78:AF108" si="24">T78+AB78+AC78</f>
        <v>741.73</v>
      </c>
      <c r="AG78" s="297">
        <f t="shared" si="16"/>
        <v>1973.27</v>
      </c>
    </row>
    <row r="79" spans="1:33" s="468" customFormat="1" ht="15" customHeight="1" x14ac:dyDescent="0.25">
      <c r="A79" s="103">
        <v>68</v>
      </c>
      <c r="B79" s="403" t="s">
        <v>339</v>
      </c>
      <c r="C79" s="135">
        <v>30073</v>
      </c>
      <c r="D79" s="104" t="s">
        <v>212</v>
      </c>
      <c r="E79" s="104" t="s">
        <v>242</v>
      </c>
      <c r="F79" s="104" t="s">
        <v>266</v>
      </c>
      <c r="G79" s="104" t="s">
        <v>267</v>
      </c>
      <c r="H79" s="104" t="s">
        <v>340</v>
      </c>
      <c r="I79" s="148" t="s">
        <v>341</v>
      </c>
      <c r="J79" s="104" t="s">
        <v>84</v>
      </c>
      <c r="K79" s="104" t="s">
        <v>342</v>
      </c>
      <c r="L79" s="312">
        <v>0.8</v>
      </c>
      <c r="M79" s="132">
        <f t="shared" si="17"/>
        <v>1448</v>
      </c>
      <c r="N79" s="134"/>
      <c r="O79" s="133">
        <f t="shared" si="18"/>
        <v>1448</v>
      </c>
      <c r="P79" s="293">
        <f t="shared" si="19"/>
        <v>1448</v>
      </c>
      <c r="Q79" s="133">
        <f>IF(OR($G79="EST",$G79="EFE"),0,IF($P79&gt;='Tabelas INSS e IR'!$B$8,'Tabelas INSS e IR'!$D$8,IF($P79&gt;='Tabelas INSS e IR'!$B$7,($P79*'Tabelas INSS e IR'!$D$7)-'Tabelas INSS e IR'!$E$7,IF($P79&gt;='Tabelas INSS e IR'!$B$6,($P79*'Tabelas INSS e IR'!$D$6)-'Tabelas INSS e IR'!$E$6,IF($P79&gt;='Tabelas INSS e IR'!$B$5,($P79*'Tabelas INSS e IR'!$D$5)-'Tabelas INSS e IR'!$E$5,$P79*'Tabelas INSS e IR'!$D$4)))))</f>
        <v>0</v>
      </c>
      <c r="R79" s="133">
        <f>IF(OR($G79="EST",$G79="EFE"),0,IF($N79&gt;='Tabelas INSS e IR'!$B$8,'Tabelas INSS e IR'!$D$8,IF($N79&gt;='Tabelas INSS e IR'!$B$7,($N79*'Tabelas INSS e IR'!$D$7)-'Tabelas INSS e IR'!$E$7,IF($N79&gt;='Tabelas INSS e IR'!$B$6,($N79*'Tabelas INSS e IR'!$D$6)-'Tabelas INSS e IR'!$E$6,IF($N79&gt;='Tabelas INSS e IR'!$B$5,($N79*'Tabelas INSS e IR'!$D$5)-'Tabelas INSS e IR'!$E$5,$N79*'Tabelas INSS e IR'!$D$4)))))</f>
        <v>0</v>
      </c>
      <c r="S79" s="132"/>
      <c r="T79" s="294">
        <f>(IF(OR($G79="EST",$G79="EFE"),0,IF((Q79+S79)&gt;'Tabelas INSS e IR'!$D$8,'Tabelas INSS e IR'!$D$8-(S79+R79),(Q79-R79))))</f>
        <v>0</v>
      </c>
      <c r="U79" s="392">
        <v>3283.26</v>
      </c>
      <c r="V79" s="137"/>
      <c r="W79" s="247">
        <f t="shared" si="20"/>
        <v>3283.26</v>
      </c>
      <c r="X79" s="291">
        <f t="shared" si="21"/>
        <v>1448</v>
      </c>
      <c r="Y79" s="133">
        <f t="shared" si="22"/>
        <v>4731.26</v>
      </c>
      <c r="Z79" s="133">
        <f>IF($Y79&lt;'Tabelas INSS e IR'!$H$5,0,IF($Y79&lt;'Tabelas INSS e IR'!$H$6,($Y79*'Tabelas INSS e IR'!$J$5)-'Tabelas INSS e IR'!$K$5,IF($Y79&lt;'Tabelas INSS e IR'!$H$7,($Y79*'Tabelas INSS e IR'!$J$6)-'Tabelas INSS e IR'!$K$6,IF($Y79&lt;'Tabelas INSS e IR'!$H$8,($Y79*'Tabelas INSS e IR'!$J$7)-'Tabelas INSS e IR'!$K$7,($Y79*'Tabelas INSS e IR'!$J$8)-'Tabelas INSS e IR'!$K$8))))</f>
        <v>392.36650000000009</v>
      </c>
      <c r="AA79" s="133">
        <f>IF($W79&lt;'Tabelas INSS e IR'!$H$5,0,IF($W79&lt;'Tabelas INSS e IR'!$H$6,($W79*'Tabelas INSS e IR'!$J$5)-'Tabelas INSS e IR'!$K$5,IF($W79&lt;'Tabelas INSS e IR'!$H$7,($W79*'Tabelas INSS e IR'!$J$6)-'Tabelas INSS e IR'!$K$6,IF($W79&lt;'Tabelas INSS e IR'!$H$8,($W79*'Tabelas INSS e IR'!$J$7)-'Tabelas INSS e IR'!$K$7,($W79*'Tabelas INSS e IR'!$J$8)-'Tabelas INSS e IR'!$K$8))))</f>
        <v>98.329000000000008</v>
      </c>
      <c r="AB79" s="294">
        <f t="shared" si="23"/>
        <v>294.03750000000008</v>
      </c>
      <c r="AC79" s="138"/>
      <c r="AD79" s="137"/>
      <c r="AE79" s="139"/>
      <c r="AF79" s="297">
        <f t="shared" si="24"/>
        <v>294.03750000000008</v>
      </c>
      <c r="AG79" s="297">
        <f t="shared" si="16"/>
        <v>1153.9624999999999</v>
      </c>
    </row>
    <row r="80" spans="1:33" s="468" customFormat="1" ht="15" customHeight="1" x14ac:dyDescent="0.25">
      <c r="A80" s="103">
        <v>69</v>
      </c>
      <c r="B80" s="403" t="s">
        <v>343</v>
      </c>
      <c r="C80" s="135">
        <v>31061</v>
      </c>
      <c r="D80" s="104" t="s">
        <v>61</v>
      </c>
      <c r="E80" s="104" t="s">
        <v>176</v>
      </c>
      <c r="F80" s="104" t="s">
        <v>266</v>
      </c>
      <c r="G80" s="104" t="s">
        <v>267</v>
      </c>
      <c r="H80" s="104" t="s">
        <v>344</v>
      </c>
      <c r="I80" s="148" t="s">
        <v>345</v>
      </c>
      <c r="J80" s="104" t="s">
        <v>84</v>
      </c>
      <c r="K80" s="104" t="s">
        <v>346</v>
      </c>
      <c r="L80" s="246">
        <v>1.5</v>
      </c>
      <c r="M80" s="132">
        <f t="shared" si="17"/>
        <v>2715</v>
      </c>
      <c r="N80" s="134"/>
      <c r="O80" s="133">
        <f t="shared" si="18"/>
        <v>2715</v>
      </c>
      <c r="P80" s="293">
        <f t="shared" si="19"/>
        <v>2715</v>
      </c>
      <c r="Q80" s="133">
        <f>IF(OR($G80="EST",$G80="EFE"),0,IF($P80&gt;='Tabelas INSS e IR'!$B$8,'Tabelas INSS e IR'!$D$8,IF($P80&gt;='Tabelas INSS e IR'!$B$7,($P80*'Tabelas INSS e IR'!$D$7)-'Tabelas INSS e IR'!$E$7,IF($P80&gt;='Tabelas INSS e IR'!$B$6,($P80*'Tabelas INSS e IR'!$D$6)-'Tabelas INSS e IR'!$E$6,IF($P80&gt;='Tabelas INSS e IR'!$B$5,($P80*'Tabelas INSS e IR'!$D$5)-'Tabelas INSS e IR'!$E$5,$P80*'Tabelas INSS e IR'!$D$4)))))</f>
        <v>0</v>
      </c>
      <c r="R80" s="133">
        <f>IF(OR($G80="EST",$G80="EFE"),0,IF($N80&gt;='Tabelas INSS e IR'!$B$8,'Tabelas INSS e IR'!$D$8,IF($N80&gt;='Tabelas INSS e IR'!$B$7,($N80*'Tabelas INSS e IR'!$D$7)-'Tabelas INSS e IR'!$E$7,IF($N80&gt;='Tabelas INSS e IR'!$B$6,($N80*'Tabelas INSS e IR'!$D$6)-'Tabelas INSS e IR'!$E$6,IF($N80&gt;='Tabelas INSS e IR'!$B$5,($N80*'Tabelas INSS e IR'!$D$5)-'Tabelas INSS e IR'!$E$5,$N80*'Tabelas INSS e IR'!$D$4)))))</f>
        <v>0</v>
      </c>
      <c r="S80" s="132"/>
      <c r="T80" s="294">
        <f>(IF(OR($G80="EST",$G80="EFE"),0,IF((Q80+S80)&gt;'Tabelas INSS e IR'!$D$8,'Tabelas INSS e IR'!$D$8-(S80+R80),(Q80-R80))))</f>
        <v>0</v>
      </c>
      <c r="U80" s="392">
        <v>3502.36</v>
      </c>
      <c r="V80" s="163"/>
      <c r="W80" s="247">
        <f t="shared" si="20"/>
        <v>3502.36</v>
      </c>
      <c r="X80" s="291">
        <f t="shared" si="21"/>
        <v>2715</v>
      </c>
      <c r="Y80" s="133">
        <f t="shared" si="22"/>
        <v>6217.3600000000006</v>
      </c>
      <c r="Z80" s="133">
        <f>IF($Y80&lt;'Tabelas INSS e IR'!$H$5,0,IF($Y80&lt;'Tabelas INSS e IR'!$H$6,($Y80*'Tabelas INSS e IR'!$J$5)-'Tabelas INSS e IR'!$K$5,IF($Y80&lt;'Tabelas INSS e IR'!$H$7,($Y80*'Tabelas INSS e IR'!$J$6)-'Tabelas INSS e IR'!$K$6,IF($Y80&lt;'Tabelas INSS e IR'!$H$8,($Y80*'Tabelas INSS e IR'!$J$7)-'Tabelas INSS e IR'!$K$7,($Y80*'Tabelas INSS e IR'!$J$8)-'Tabelas INSS e IR'!$K$8))))</f>
        <v>801.04400000000032</v>
      </c>
      <c r="AA80" s="133">
        <f>IF($W80&lt;'Tabelas INSS e IR'!$H$5,0,IF($W80&lt;'Tabelas INSS e IR'!$H$6,($W80*'Tabelas INSS e IR'!$J$5)-'Tabelas INSS e IR'!$K$5,IF($W80&lt;'Tabelas INSS e IR'!$H$7,($W80*'Tabelas INSS e IR'!$J$6)-'Tabelas INSS e IR'!$K$6,IF($W80&lt;'Tabelas INSS e IR'!$H$8,($W80*'Tabelas INSS e IR'!$J$7)-'Tabelas INSS e IR'!$K$7,($W80*'Tabelas INSS e IR'!$J$8)-'Tabelas INSS e IR'!$K$8))))</f>
        <v>131.19400000000002</v>
      </c>
      <c r="AB80" s="294">
        <f t="shared" si="23"/>
        <v>669.85000000000036</v>
      </c>
      <c r="AC80" s="138"/>
      <c r="AD80" s="137"/>
      <c r="AE80" s="139"/>
      <c r="AF80" s="297">
        <f t="shared" si="24"/>
        <v>669.85000000000036</v>
      </c>
      <c r="AG80" s="297">
        <f t="shared" si="16"/>
        <v>2045.1499999999996</v>
      </c>
    </row>
    <row r="81" spans="1:673" s="468" customFormat="1" ht="15" customHeight="1" x14ac:dyDescent="0.25">
      <c r="A81" s="104">
        <v>70</v>
      </c>
      <c r="B81" s="403" t="s">
        <v>347</v>
      </c>
      <c r="C81" s="135">
        <v>31579</v>
      </c>
      <c r="D81" s="104" t="s">
        <v>133</v>
      </c>
      <c r="E81" s="104" t="s">
        <v>176</v>
      </c>
      <c r="F81" s="104" t="s">
        <v>266</v>
      </c>
      <c r="G81" s="104" t="s">
        <v>267</v>
      </c>
      <c r="H81" s="104" t="s">
        <v>348</v>
      </c>
      <c r="I81" s="110" t="s">
        <v>349</v>
      </c>
      <c r="J81" s="104" t="s">
        <v>84</v>
      </c>
      <c r="K81" s="104" t="s">
        <v>350</v>
      </c>
      <c r="L81" s="246">
        <v>1</v>
      </c>
      <c r="M81" s="132">
        <f t="shared" si="17"/>
        <v>1810</v>
      </c>
      <c r="N81" s="134"/>
      <c r="O81" s="133">
        <f t="shared" si="18"/>
        <v>1810</v>
      </c>
      <c r="P81" s="293">
        <f t="shared" si="19"/>
        <v>1810</v>
      </c>
      <c r="Q81" s="133">
        <f>IF(OR($G81="EST",$G81="EFE"),0,IF($P81&gt;='Tabelas INSS e IR'!$B$8,'Tabelas INSS e IR'!$D$8,IF($P81&gt;='Tabelas INSS e IR'!$B$7,($P81*'Tabelas INSS e IR'!$D$7)-'Tabelas INSS e IR'!$E$7,IF($P81&gt;='Tabelas INSS e IR'!$B$6,($P81*'Tabelas INSS e IR'!$D$6)-'Tabelas INSS e IR'!$E$6,IF($P81&gt;='Tabelas INSS e IR'!$B$5,($P81*'Tabelas INSS e IR'!$D$5)-'Tabelas INSS e IR'!$E$5,$P81*'Tabelas INSS e IR'!$D$4)))))</f>
        <v>0</v>
      </c>
      <c r="R81" s="133">
        <f>IF(OR($G81="EST",$G81="EFE"),0,IF($N81&gt;='Tabelas INSS e IR'!$B$8,'Tabelas INSS e IR'!$D$8,IF($N81&gt;='Tabelas INSS e IR'!$B$7,($N81*'Tabelas INSS e IR'!$D$7)-'Tabelas INSS e IR'!$E$7,IF($N81&gt;='Tabelas INSS e IR'!$B$6,($N81*'Tabelas INSS e IR'!$D$6)-'Tabelas INSS e IR'!$E$6,IF($N81&gt;='Tabelas INSS e IR'!$B$5,($N81*'Tabelas INSS e IR'!$D$5)-'Tabelas INSS e IR'!$E$5,$N81*'Tabelas INSS e IR'!$D$4)))))</f>
        <v>0</v>
      </c>
      <c r="S81" s="132"/>
      <c r="T81" s="294">
        <f>(IF(OR($G81="EST",$G81="EFE"),0,IF((Q81+S81)&gt;'Tabelas INSS e IR'!$D$8,'Tabelas INSS e IR'!$D$8-(S81+R81),(Q81-R81))))</f>
        <v>0</v>
      </c>
      <c r="U81" s="392">
        <v>3914.71</v>
      </c>
      <c r="V81" s="137"/>
      <c r="W81" s="247">
        <f t="shared" si="20"/>
        <v>3914.71</v>
      </c>
      <c r="X81" s="291">
        <f t="shared" si="21"/>
        <v>1810</v>
      </c>
      <c r="Y81" s="133">
        <f t="shared" si="22"/>
        <v>5724.71</v>
      </c>
      <c r="Z81" s="133">
        <f>IF($Y81&lt;'Tabelas INSS e IR'!$H$5,0,IF($Y81&lt;'Tabelas INSS e IR'!$H$6,($Y81*'Tabelas INSS e IR'!$J$5)-'Tabelas INSS e IR'!$K$5,IF($Y81&lt;'Tabelas INSS e IR'!$H$7,($Y81*'Tabelas INSS e IR'!$J$6)-'Tabelas INSS e IR'!$K$6,IF($Y81&lt;'Tabelas INSS e IR'!$H$8,($Y81*'Tabelas INSS e IR'!$J$7)-'Tabelas INSS e IR'!$K$7,($Y81*'Tabelas INSS e IR'!$J$8)-'Tabelas INSS e IR'!$K$8))))</f>
        <v>665.56525000000011</v>
      </c>
      <c r="AA81" s="133">
        <f>IF($W81&lt;'Tabelas INSS e IR'!$H$5,0,IF($W81&lt;'Tabelas INSS e IR'!$H$6,($W81*'Tabelas INSS e IR'!$J$5)-'Tabelas INSS e IR'!$K$5,IF($W81&lt;'Tabelas INSS e IR'!$H$7,($W81*'Tabelas INSS e IR'!$J$6)-'Tabelas INSS e IR'!$K$6,IF($W81&lt;'Tabelas INSS e IR'!$H$8,($W81*'Tabelas INSS e IR'!$J$7)-'Tabelas INSS e IR'!$K$7,($W81*'Tabelas INSS e IR'!$J$8)-'Tabelas INSS e IR'!$K$8))))</f>
        <v>205.31975</v>
      </c>
      <c r="AB81" s="294">
        <f t="shared" si="23"/>
        <v>460.24550000000011</v>
      </c>
      <c r="AC81" s="138"/>
      <c r="AD81" s="137"/>
      <c r="AE81" s="139"/>
      <c r="AF81" s="297">
        <f t="shared" si="24"/>
        <v>460.24550000000011</v>
      </c>
      <c r="AG81" s="297">
        <f t="shared" si="16"/>
        <v>1349.7545</v>
      </c>
    </row>
    <row r="82" spans="1:673" s="468" customFormat="1" ht="15" customHeight="1" x14ac:dyDescent="0.25">
      <c r="A82" s="103">
        <v>71</v>
      </c>
      <c r="B82" s="403" t="s">
        <v>351</v>
      </c>
      <c r="C82" s="135">
        <v>31579</v>
      </c>
      <c r="D82" s="104" t="s">
        <v>61</v>
      </c>
      <c r="E82" s="104" t="s">
        <v>176</v>
      </c>
      <c r="F82" s="104" t="s">
        <v>266</v>
      </c>
      <c r="G82" s="104" t="s">
        <v>267</v>
      </c>
      <c r="H82" s="104" t="s">
        <v>352</v>
      </c>
      <c r="I82" s="110" t="s">
        <v>353</v>
      </c>
      <c r="J82" s="104" t="s">
        <v>84</v>
      </c>
      <c r="K82" s="104" t="s">
        <v>354</v>
      </c>
      <c r="L82" s="246">
        <v>1.5</v>
      </c>
      <c r="M82" s="132">
        <f t="shared" si="17"/>
        <v>2715</v>
      </c>
      <c r="N82" s="134"/>
      <c r="O82" s="133">
        <f t="shared" si="18"/>
        <v>2715</v>
      </c>
      <c r="P82" s="293">
        <f t="shared" si="19"/>
        <v>2715</v>
      </c>
      <c r="Q82" s="133">
        <f>IF(OR($G82="EST",$G82="EFE"),0,IF($P82&gt;='Tabelas INSS e IR'!$B$8,'Tabelas INSS e IR'!$D$8,IF($P82&gt;='Tabelas INSS e IR'!$B$7,($P82*'Tabelas INSS e IR'!$D$7)-'Tabelas INSS e IR'!$E$7,IF($P82&gt;='Tabelas INSS e IR'!$B$6,($P82*'Tabelas INSS e IR'!$D$6)-'Tabelas INSS e IR'!$E$6,IF($P82&gt;='Tabelas INSS e IR'!$B$5,($P82*'Tabelas INSS e IR'!$D$5)-'Tabelas INSS e IR'!$E$5,$P82*'Tabelas INSS e IR'!$D$4)))))</f>
        <v>0</v>
      </c>
      <c r="R82" s="133">
        <f>IF(OR($G82="EST",$G82="EFE"),0,IF($N82&gt;='Tabelas INSS e IR'!$B$8,'Tabelas INSS e IR'!$D$8,IF($N82&gt;='Tabelas INSS e IR'!$B$7,($N82*'Tabelas INSS e IR'!$D$7)-'Tabelas INSS e IR'!$E$7,IF($N82&gt;='Tabelas INSS e IR'!$B$6,($N82*'Tabelas INSS e IR'!$D$6)-'Tabelas INSS e IR'!$E$6,IF($N82&gt;='Tabelas INSS e IR'!$B$5,($N82*'Tabelas INSS e IR'!$D$5)-'Tabelas INSS e IR'!$E$5,$N82*'Tabelas INSS e IR'!$D$4)))))</f>
        <v>0</v>
      </c>
      <c r="S82" s="132"/>
      <c r="T82" s="294">
        <f>(IF(OR($G82="EST",$G82="EFE"),0,IF((Q82+S82)&gt;'Tabelas INSS e IR'!$D$8,'Tabelas INSS e IR'!$D$8-(S82+R82),(Q82-R82))))</f>
        <v>0</v>
      </c>
      <c r="U82" s="392">
        <v>4566.8999999999996</v>
      </c>
      <c r="V82" s="137"/>
      <c r="W82" s="247">
        <f t="shared" si="20"/>
        <v>4566.8999999999996</v>
      </c>
      <c r="X82" s="291">
        <f t="shared" si="21"/>
        <v>2715</v>
      </c>
      <c r="Y82" s="133">
        <f t="shared" si="22"/>
        <v>7281.9</v>
      </c>
      <c r="Z82" s="133">
        <f>IF($Y82&lt;'Tabelas INSS e IR'!$H$5,0,IF($Y82&lt;'Tabelas INSS e IR'!$H$6,($Y82*'Tabelas INSS e IR'!$J$5)-'Tabelas INSS e IR'!$K$5,IF($Y82&lt;'Tabelas INSS e IR'!$H$7,($Y82*'Tabelas INSS e IR'!$J$6)-'Tabelas INSS e IR'!$K$6,IF($Y82&lt;'Tabelas INSS e IR'!$H$8,($Y82*'Tabelas INSS e IR'!$J$7)-'Tabelas INSS e IR'!$K$7,($Y82*'Tabelas INSS e IR'!$J$8)-'Tabelas INSS e IR'!$K$8))))</f>
        <v>1093.7925</v>
      </c>
      <c r="AA82" s="133">
        <f>IF($W82&lt;'Tabelas INSS e IR'!$H$5,0,IF($W82&lt;'Tabelas INSS e IR'!$H$6,($W82*'Tabelas INSS e IR'!$J$5)-'Tabelas INSS e IR'!$K$5,IF($W82&lt;'Tabelas INSS e IR'!$H$7,($W82*'Tabelas INSS e IR'!$J$6)-'Tabelas INSS e IR'!$K$6,IF($W82&lt;'Tabelas INSS e IR'!$H$8,($W82*'Tabelas INSS e IR'!$J$7)-'Tabelas INSS e IR'!$K$7,($W82*'Tabelas INSS e IR'!$J$8)-'Tabelas INSS e IR'!$K$8))))</f>
        <v>352.0625</v>
      </c>
      <c r="AB82" s="294">
        <f t="shared" si="23"/>
        <v>741.73</v>
      </c>
      <c r="AC82" s="138"/>
      <c r="AD82" s="137"/>
      <c r="AE82" s="139"/>
      <c r="AF82" s="297">
        <f t="shared" si="24"/>
        <v>741.73</v>
      </c>
      <c r="AG82" s="297">
        <f t="shared" si="16"/>
        <v>1973.27</v>
      </c>
    </row>
    <row r="83" spans="1:673" s="468" customFormat="1" ht="15" customHeight="1" x14ac:dyDescent="0.25">
      <c r="A83" s="103">
        <v>72</v>
      </c>
      <c r="B83" s="526" t="s">
        <v>532</v>
      </c>
      <c r="C83" s="135"/>
      <c r="D83" s="405" t="s">
        <v>61</v>
      </c>
      <c r="E83" s="405" t="s">
        <v>533</v>
      </c>
      <c r="F83" s="104" t="s">
        <v>63</v>
      </c>
      <c r="G83" s="104" t="s">
        <v>64</v>
      </c>
      <c r="H83" s="136">
        <v>1399566</v>
      </c>
      <c r="I83" s="148" t="s">
        <v>534</v>
      </c>
      <c r="J83" s="405" t="s">
        <v>136</v>
      </c>
      <c r="K83" s="405">
        <v>10135159</v>
      </c>
      <c r="L83" s="246">
        <v>1.1499999999999999</v>
      </c>
      <c r="M83" s="132">
        <f>$I$10*L83%</f>
        <v>2081.5</v>
      </c>
      <c r="N83" s="134"/>
      <c r="O83" s="133">
        <f>$I$10*L83%</f>
        <v>2081.5</v>
      </c>
      <c r="P83" s="293">
        <f>N83+O83</f>
        <v>2081.5</v>
      </c>
      <c r="Q83" s="133">
        <f>IF(OR($G83="EST",$G83="EFE"),0,IF($P83&gt;='Tabelas INSS e IR'!$B$8,'Tabelas INSS e IR'!$D$8,IF($P83&gt;='Tabelas INSS e IR'!$B$7,($P83*'Tabelas INSS e IR'!$D$7)-'Tabelas INSS e IR'!$E$7,IF($P83&gt;='Tabelas INSS e IR'!$B$6,($P83*'Tabelas INSS e IR'!$D$6)-'Tabelas INSS e IR'!$E$6,IF($P83&gt;='Tabelas INSS e IR'!$B$5,($P83*'Tabelas INSS e IR'!$D$5)-'Tabelas INSS e IR'!$E$5,$P83*'Tabelas INSS e IR'!$D$4)))))</f>
        <v>164.56499999999997</v>
      </c>
      <c r="R83" s="133">
        <f>IF(OR($G83="EST",$G83="EFE"),0,IF($N83&gt;='Tabelas INSS e IR'!$B$8,'Tabelas INSS e IR'!$D$8,IF($N83&gt;='Tabelas INSS e IR'!$B$7,($N83*'Tabelas INSS e IR'!$D$7)-'Tabelas INSS e IR'!$E$7,IF($N83&gt;='Tabelas INSS e IR'!$B$6,($N83*'Tabelas INSS e IR'!$D$6)-'Tabelas INSS e IR'!$E$6,IF($N83&gt;='Tabelas INSS e IR'!$B$5,($N83*'Tabelas INSS e IR'!$D$5)-'Tabelas INSS e IR'!$E$5,$N83*'Tabelas INSS e IR'!$D$4)))))</f>
        <v>0</v>
      </c>
      <c r="S83" s="132"/>
      <c r="T83" s="294">
        <f>(IF(OR($G83="EST",$G83="EFE"),0,IF((Q83+S83)&gt;'Tabelas INSS e IR'!$D$8,'Tabelas INSS e IR'!$D$8-(S83+R83),(Q83-R83))))</f>
        <v>164.56499999999997</v>
      </c>
      <c r="U83" s="392">
        <f t="shared" ref="U83:U108" si="25">N83-R83</f>
        <v>0</v>
      </c>
      <c r="V83" s="137"/>
      <c r="W83" s="247">
        <f>U83-V83</f>
        <v>0</v>
      </c>
      <c r="X83" s="291">
        <f>O83-T83</f>
        <v>1916.9349999999999</v>
      </c>
      <c r="Y83" s="133">
        <f>W83+X83</f>
        <v>1916.9349999999999</v>
      </c>
      <c r="Z83" s="133">
        <f>IF($Y83&lt;'Tabelas INSS e IR'!$H$5,0,IF($Y83&lt;'Tabelas INSS e IR'!$H$6,($Y83*'Tabelas INSS e IR'!$J$5)-'Tabelas INSS e IR'!$K$5,IF($Y83&lt;'Tabelas INSS e IR'!$H$7,($Y83*'Tabelas INSS e IR'!$J$6)-'Tabelas INSS e IR'!$K$6,IF($Y83&lt;'Tabelas INSS e IR'!$H$8,($Y83*'Tabelas INSS e IR'!$J$7)-'Tabelas INSS e IR'!$K$7,($Y83*'Tabelas INSS e IR'!$J$8)-'Tabelas INSS e IR'!$K$8))))</f>
        <v>0</v>
      </c>
      <c r="AA83" s="133">
        <f>IF($W83&lt;'Tabelas INSS e IR'!$H$5,0,IF($W83&lt;'Tabelas INSS e IR'!$H$6,($W83*'Tabelas INSS e IR'!$J$5)-'Tabelas INSS e IR'!$K$5,IF($W83&lt;'Tabelas INSS e IR'!$H$7,($W83*'Tabelas INSS e IR'!$J$6)-'Tabelas INSS e IR'!$K$6,IF($W83&lt;'Tabelas INSS e IR'!$H$8,($W83*'Tabelas INSS e IR'!$J$7)-'Tabelas INSS e IR'!$K$7,($W83*'Tabelas INSS e IR'!$J$8)-'Tabelas INSS e IR'!$K$8))))</f>
        <v>0</v>
      </c>
      <c r="AB83" s="294">
        <f>Z83-AA83</f>
        <v>0</v>
      </c>
      <c r="AC83" s="138"/>
      <c r="AD83" s="137"/>
      <c r="AE83" s="139"/>
      <c r="AF83" s="297">
        <f>T83+AB83+AC83</f>
        <v>164.56499999999997</v>
      </c>
      <c r="AG83" s="297">
        <f>O83-AF83</f>
        <v>1916.9349999999999</v>
      </c>
    </row>
    <row r="84" spans="1:673" s="468" customFormat="1" ht="15" customHeight="1" x14ac:dyDescent="0.25">
      <c r="A84" s="103">
        <v>73</v>
      </c>
      <c r="B84" s="403" t="s">
        <v>355</v>
      </c>
      <c r="C84" s="135">
        <v>29677</v>
      </c>
      <c r="D84" s="104" t="s">
        <v>61</v>
      </c>
      <c r="E84" s="104" t="s">
        <v>242</v>
      </c>
      <c r="F84" s="104" t="s">
        <v>266</v>
      </c>
      <c r="G84" s="104" t="s">
        <v>267</v>
      </c>
      <c r="H84" s="104" t="s">
        <v>356</v>
      </c>
      <c r="I84" s="148" t="s">
        <v>357</v>
      </c>
      <c r="J84" s="104" t="s">
        <v>84</v>
      </c>
      <c r="K84" s="104" t="s">
        <v>358</v>
      </c>
      <c r="L84" s="246">
        <v>1.2</v>
      </c>
      <c r="M84" s="132">
        <f t="shared" si="17"/>
        <v>2172</v>
      </c>
      <c r="N84" s="134"/>
      <c r="O84" s="133">
        <f t="shared" si="18"/>
        <v>2172</v>
      </c>
      <c r="P84" s="293">
        <f t="shared" si="19"/>
        <v>2172</v>
      </c>
      <c r="Q84" s="133">
        <f>IF(OR($G84="EST",$G84="EFE"),0,IF($P84&gt;='Tabelas INSS e IR'!$B$8,'Tabelas INSS e IR'!$D$8,IF($P84&gt;='Tabelas INSS e IR'!$B$7,($P84*'Tabelas INSS e IR'!$D$7)-'Tabelas INSS e IR'!$E$7,IF($P84&gt;='Tabelas INSS e IR'!$B$6,($P84*'Tabelas INSS e IR'!$D$6)-'Tabelas INSS e IR'!$E$6,IF($P84&gt;='Tabelas INSS e IR'!$B$5,($P84*'Tabelas INSS e IR'!$D$5)-'Tabelas INSS e IR'!$E$5,$P84*'Tabelas INSS e IR'!$D$4)))))</f>
        <v>0</v>
      </c>
      <c r="R84" s="133">
        <f>IF(OR($G84="EST",$G84="EFE"),0,IF($N84&gt;='Tabelas INSS e IR'!$B$8,'Tabelas INSS e IR'!$D$8,IF($N84&gt;='Tabelas INSS e IR'!$B$7,($N84*'Tabelas INSS e IR'!$D$7)-'Tabelas INSS e IR'!$E$7,IF($N84&gt;='Tabelas INSS e IR'!$B$6,($N84*'Tabelas INSS e IR'!$D$6)-'Tabelas INSS e IR'!$E$6,IF($N84&gt;='Tabelas INSS e IR'!$B$5,($N84*'Tabelas INSS e IR'!$D$5)-'Tabelas INSS e IR'!$E$5,$N84*'Tabelas INSS e IR'!$D$4)))))</f>
        <v>0</v>
      </c>
      <c r="S84" s="132"/>
      <c r="T84" s="294">
        <f>(IF(OR($G84="EST",$G84="EFE"),0,IF((Q84+S84)&gt;'Tabelas INSS e IR'!$D$8,'Tabelas INSS e IR'!$D$8-(S84+R84),(Q84-R84))))</f>
        <v>0</v>
      </c>
      <c r="U84" s="478">
        <v>2054.38</v>
      </c>
      <c r="V84" s="137"/>
      <c r="W84" s="247">
        <f t="shared" si="20"/>
        <v>2054.38</v>
      </c>
      <c r="X84" s="291">
        <f t="shared" si="21"/>
        <v>2172</v>
      </c>
      <c r="Y84" s="133">
        <f t="shared" si="22"/>
        <v>4226.38</v>
      </c>
      <c r="Z84" s="133">
        <f>IF($Y84&lt;'Tabelas INSS e IR'!$H$5,0,IF($Y84&lt;'Tabelas INSS e IR'!$H$6,($Y84*'Tabelas INSS e IR'!$J$5)-'Tabelas INSS e IR'!$K$5,IF($Y84&lt;'Tabelas INSS e IR'!$H$7,($Y84*'Tabelas INSS e IR'!$J$6)-'Tabelas INSS e IR'!$K$6,IF($Y84&lt;'Tabelas INSS e IR'!$H$8,($Y84*'Tabelas INSS e IR'!$J$7)-'Tabelas INSS e IR'!$K$7,($Y84*'Tabelas INSS e IR'!$J$8)-'Tabelas INSS e IR'!$K$8))))</f>
        <v>275.44550000000004</v>
      </c>
      <c r="AA84" s="133">
        <f>IF($W84&lt;'Tabelas INSS e IR'!$H$5,0,IF($W84&lt;'Tabelas INSS e IR'!$H$6,($W84*'Tabelas INSS e IR'!$J$5)-'Tabelas INSS e IR'!$K$5,IF($W84&lt;'Tabelas INSS e IR'!$H$7,($W84*'Tabelas INSS e IR'!$J$6)-'Tabelas INSS e IR'!$K$6,IF($W84&lt;'Tabelas INSS e IR'!$H$8,($W84*'Tabelas INSS e IR'!$J$7)-'Tabelas INSS e IR'!$K$7,($W84*'Tabelas INSS e IR'!$J$8)-'Tabelas INSS e IR'!$K$8))))</f>
        <v>0</v>
      </c>
      <c r="AB84" s="294">
        <f t="shared" si="23"/>
        <v>275.44550000000004</v>
      </c>
      <c r="AC84" s="138"/>
      <c r="AD84" s="137"/>
      <c r="AE84" s="139"/>
      <c r="AF84" s="297">
        <f t="shared" si="24"/>
        <v>275.44550000000004</v>
      </c>
      <c r="AG84" s="297">
        <f t="shared" si="16"/>
        <v>1896.5545</v>
      </c>
    </row>
    <row r="85" spans="1:673" s="468" customFormat="1" ht="15" customHeight="1" x14ac:dyDescent="0.2">
      <c r="A85" s="104">
        <v>74</v>
      </c>
      <c r="B85" s="403" t="s">
        <v>359</v>
      </c>
      <c r="C85" s="135">
        <v>31594</v>
      </c>
      <c r="D85" s="104" t="s">
        <v>148</v>
      </c>
      <c r="E85" s="276" t="s">
        <v>246</v>
      </c>
      <c r="F85" s="274" t="s">
        <v>177</v>
      </c>
      <c r="G85" s="104" t="s">
        <v>178</v>
      </c>
      <c r="H85" s="275">
        <v>508219</v>
      </c>
      <c r="I85" s="274" t="s">
        <v>360</v>
      </c>
      <c r="J85" s="274" t="s">
        <v>117</v>
      </c>
      <c r="K85" s="274" t="s">
        <v>361</v>
      </c>
      <c r="L85" s="246">
        <v>0.41</v>
      </c>
      <c r="M85" s="132">
        <f t="shared" si="17"/>
        <v>742.09999999999991</v>
      </c>
      <c r="N85" s="134"/>
      <c r="O85" s="133">
        <f t="shared" si="18"/>
        <v>742.09999999999991</v>
      </c>
      <c r="P85" s="293">
        <f t="shared" si="19"/>
        <v>742.09999999999991</v>
      </c>
      <c r="Q85" s="133">
        <f>IF(OR($G85="EST",$G85="EFE"),0,IF($P85&gt;='Tabelas INSS e IR'!$B$8,'Tabelas INSS e IR'!$D$8,IF($P85&gt;='Tabelas INSS e IR'!$B$7,($P85*'Tabelas INSS e IR'!$D$7)-'Tabelas INSS e IR'!$E$7,IF($P85&gt;='Tabelas INSS e IR'!$B$6,($P85*'Tabelas INSS e IR'!$D$6)-'Tabelas INSS e IR'!$E$6,IF($P85&gt;='Tabelas INSS e IR'!$B$5,($P85*'Tabelas INSS e IR'!$D$5)-'Tabelas INSS e IR'!$E$5,$P85*'Tabelas INSS e IR'!$D$4)))))</f>
        <v>0</v>
      </c>
      <c r="R85" s="133">
        <f>IF(OR($G85="EST",$G85="EFE"),0,IF($N85&gt;='Tabelas INSS e IR'!$B$8,'Tabelas INSS e IR'!$D$8,IF($N85&gt;='Tabelas INSS e IR'!$B$7,($N85*'Tabelas INSS e IR'!$D$7)-'Tabelas INSS e IR'!$E$7,IF($N85&gt;='Tabelas INSS e IR'!$B$6,($N85*'Tabelas INSS e IR'!$D$6)-'Tabelas INSS e IR'!$E$6,IF($N85&gt;='Tabelas INSS e IR'!$B$5,($N85*'Tabelas INSS e IR'!$D$5)-'Tabelas INSS e IR'!$E$5,$N85*'Tabelas INSS e IR'!$D$4)))))</f>
        <v>0</v>
      </c>
      <c r="S85" s="132"/>
      <c r="T85" s="294">
        <f>(IF(OR($G85="EST",$G85="EFE"),0,IF((Q85+S85)&gt;'Tabelas INSS e IR'!$D$8,'Tabelas INSS e IR'!$D$8-(S85+R85),(Q85-R85))))</f>
        <v>0</v>
      </c>
      <c r="U85" s="392">
        <v>11100.28</v>
      </c>
      <c r="V85" s="163"/>
      <c r="W85" s="247">
        <f t="shared" si="20"/>
        <v>11100.28</v>
      </c>
      <c r="X85" s="291">
        <f t="shared" si="21"/>
        <v>742.09999999999991</v>
      </c>
      <c r="Y85" s="133">
        <f t="shared" si="22"/>
        <v>11842.380000000001</v>
      </c>
      <c r="Z85" s="133">
        <f>IF($Y85&lt;'Tabelas INSS e IR'!$H$5,0,IF($Y85&lt;'Tabelas INSS e IR'!$H$6,($Y85*'Tabelas INSS e IR'!$J$5)-'Tabelas INSS e IR'!$K$5,IF($Y85&lt;'Tabelas INSS e IR'!$H$7,($Y85*'Tabelas INSS e IR'!$J$6)-'Tabelas INSS e IR'!$K$6,IF($Y85&lt;'Tabelas INSS e IR'!$H$8,($Y85*'Tabelas INSS e IR'!$J$7)-'Tabelas INSS e IR'!$K$7,($Y85*'Tabelas INSS e IR'!$J$8)-'Tabelas INSS e IR'!$K$8))))</f>
        <v>2347.9245000000005</v>
      </c>
      <c r="AA85" s="133">
        <f>IF($W85&lt;'Tabelas INSS e IR'!$H$5,0,IF($W85&lt;'Tabelas INSS e IR'!$H$6,($W85*'Tabelas INSS e IR'!$J$5)-'Tabelas INSS e IR'!$K$5,IF($W85&lt;'Tabelas INSS e IR'!$H$7,($W85*'Tabelas INSS e IR'!$J$6)-'Tabelas INSS e IR'!$K$6,IF($W85&lt;'Tabelas INSS e IR'!$H$8,($W85*'Tabelas INSS e IR'!$J$7)-'Tabelas INSS e IR'!$K$7,($W85*'Tabelas INSS e IR'!$J$8)-'Tabelas INSS e IR'!$K$8))))</f>
        <v>2143.8470000000002</v>
      </c>
      <c r="AB85" s="294">
        <f t="shared" si="23"/>
        <v>204.07750000000033</v>
      </c>
      <c r="AC85" s="138"/>
      <c r="AD85" s="137"/>
      <c r="AE85" s="139"/>
      <c r="AF85" s="297">
        <f t="shared" si="24"/>
        <v>204.07750000000033</v>
      </c>
      <c r="AG85" s="297">
        <f t="shared" si="16"/>
        <v>538.02249999999958</v>
      </c>
    </row>
    <row r="86" spans="1:673" s="469" customFormat="1" ht="15" customHeight="1" x14ac:dyDescent="0.25">
      <c r="A86" s="103">
        <v>75</v>
      </c>
      <c r="B86" s="403" t="s">
        <v>362</v>
      </c>
      <c r="C86" s="135">
        <v>32294</v>
      </c>
      <c r="D86" s="104" t="s">
        <v>224</v>
      </c>
      <c r="E86" s="104" t="s">
        <v>363</v>
      </c>
      <c r="F86" s="104" t="s">
        <v>266</v>
      </c>
      <c r="G86" s="104" t="s">
        <v>267</v>
      </c>
      <c r="H86" s="104" t="s">
        <v>364</v>
      </c>
      <c r="I86" s="110" t="s">
        <v>365</v>
      </c>
      <c r="J86" s="104" t="s">
        <v>84</v>
      </c>
      <c r="K86" s="104" t="s">
        <v>366</v>
      </c>
      <c r="L86" s="312">
        <v>2.15</v>
      </c>
      <c r="M86" s="132">
        <f t="shared" si="17"/>
        <v>3891.4999999999995</v>
      </c>
      <c r="N86" s="134"/>
      <c r="O86" s="133">
        <f t="shared" si="18"/>
        <v>3891.4999999999995</v>
      </c>
      <c r="P86" s="293">
        <f t="shared" si="19"/>
        <v>3891.4999999999995</v>
      </c>
      <c r="Q86" s="133">
        <f>IF(OR($G86="EST",$G86="EFE"),0,IF($P86&gt;='Tabelas INSS e IR'!$B$8,'Tabelas INSS e IR'!$D$8,IF($P86&gt;='Tabelas INSS e IR'!$B$7,($P86*'Tabelas INSS e IR'!$D$7)-'Tabelas INSS e IR'!$E$7,IF($P86&gt;='Tabelas INSS e IR'!$B$6,($P86*'Tabelas INSS e IR'!$D$6)-'Tabelas INSS e IR'!$E$6,IF($P86&gt;='Tabelas INSS e IR'!$B$5,($P86*'Tabelas INSS e IR'!$D$5)-'Tabelas INSS e IR'!$E$5,$P86*'Tabelas INSS e IR'!$D$4)))))</f>
        <v>0</v>
      </c>
      <c r="R86" s="133">
        <f>IF(OR($G86="EST",$G86="EFE"),0,IF($N86&gt;='Tabelas INSS e IR'!$B$8,'Tabelas INSS e IR'!$D$8,IF($N86&gt;='Tabelas INSS e IR'!$B$7,($N86*'Tabelas INSS e IR'!$D$7)-'Tabelas INSS e IR'!$E$7,IF($N86&gt;='Tabelas INSS e IR'!$B$6,($N86*'Tabelas INSS e IR'!$D$6)-'Tabelas INSS e IR'!$E$6,IF($N86&gt;='Tabelas INSS e IR'!$B$5,($N86*'Tabelas INSS e IR'!$D$5)-'Tabelas INSS e IR'!$E$5,$N86*'Tabelas INSS e IR'!$D$4)))))</f>
        <v>0</v>
      </c>
      <c r="S86" s="132"/>
      <c r="T86" s="294">
        <f>(IF(OR($G86="EST",$G86="EFE"),0,IF((Q86+S86)&gt;'Tabelas INSS e IR'!$D$8,'Tabelas INSS e IR'!$D$8-(S86+R86),(Q86-R86))))</f>
        <v>0</v>
      </c>
      <c r="U86" s="392">
        <v>7326.13</v>
      </c>
      <c r="V86" s="170"/>
      <c r="W86" s="247">
        <f t="shared" si="20"/>
        <v>7326.13</v>
      </c>
      <c r="X86" s="291">
        <f t="shared" si="21"/>
        <v>3891.4999999999995</v>
      </c>
      <c r="Y86" s="133">
        <f t="shared" si="22"/>
        <v>11217.63</v>
      </c>
      <c r="Z86" s="133">
        <f>IF($Y86&lt;'Tabelas INSS e IR'!$H$5,0,IF($Y86&lt;'Tabelas INSS e IR'!$H$6,($Y86*'Tabelas INSS e IR'!$J$5)-'Tabelas INSS e IR'!$K$5,IF($Y86&lt;'Tabelas INSS e IR'!$H$7,($Y86*'Tabelas INSS e IR'!$J$6)-'Tabelas INSS e IR'!$K$6,IF($Y86&lt;'Tabelas INSS e IR'!$H$8,($Y86*'Tabelas INSS e IR'!$J$7)-'Tabelas INSS e IR'!$K$7,($Y86*'Tabelas INSS e IR'!$J$8)-'Tabelas INSS e IR'!$K$8))))</f>
        <v>2176.11825</v>
      </c>
      <c r="AA86" s="133">
        <f>IF($W86&lt;'Tabelas INSS e IR'!$H$5,0,IF($W86&lt;'Tabelas INSS e IR'!$H$6,($W86*'Tabelas INSS e IR'!$J$5)-'Tabelas INSS e IR'!$K$5,IF($W86&lt;'Tabelas INSS e IR'!$H$7,($W86*'Tabelas INSS e IR'!$J$6)-'Tabelas INSS e IR'!$K$6,IF($W86&lt;'Tabelas INSS e IR'!$H$8,($W86*'Tabelas INSS e IR'!$J$7)-'Tabelas INSS e IR'!$K$7,($W86*'Tabelas INSS e IR'!$J$8)-'Tabelas INSS e IR'!$K$8))))</f>
        <v>1105.9557500000001</v>
      </c>
      <c r="AB86" s="294">
        <f t="shared" si="23"/>
        <v>1070.1624999999999</v>
      </c>
      <c r="AC86" s="154"/>
      <c r="AD86" s="137"/>
      <c r="AE86" s="147"/>
      <c r="AF86" s="297">
        <f t="shared" si="24"/>
        <v>1070.1624999999999</v>
      </c>
      <c r="AG86" s="297">
        <f t="shared" si="16"/>
        <v>2821.3374999999996</v>
      </c>
    </row>
    <row r="87" spans="1:673" s="468" customFormat="1" ht="15" customHeight="1" x14ac:dyDescent="0.25">
      <c r="A87" s="103">
        <v>76</v>
      </c>
      <c r="B87" s="403" t="s">
        <v>367</v>
      </c>
      <c r="C87" s="135">
        <v>32295</v>
      </c>
      <c r="D87" s="104" t="s">
        <v>61</v>
      </c>
      <c r="E87" s="104" t="s">
        <v>368</v>
      </c>
      <c r="F87" s="104" t="s">
        <v>266</v>
      </c>
      <c r="G87" s="104" t="s">
        <v>267</v>
      </c>
      <c r="H87" s="104" t="s">
        <v>369</v>
      </c>
      <c r="I87" s="110" t="s">
        <v>370</v>
      </c>
      <c r="J87" s="104" t="s">
        <v>157</v>
      </c>
      <c r="K87" s="104" t="s">
        <v>371</v>
      </c>
      <c r="L87" s="246">
        <v>1.5</v>
      </c>
      <c r="M87" s="132">
        <f t="shared" si="17"/>
        <v>2715</v>
      </c>
      <c r="N87" s="134"/>
      <c r="O87" s="133">
        <f t="shared" si="18"/>
        <v>2715</v>
      </c>
      <c r="P87" s="293">
        <f t="shared" si="19"/>
        <v>2715</v>
      </c>
      <c r="Q87" s="133">
        <f>IF(OR($G87="EST",$G87="EFE"),0,IF($P87&gt;='Tabelas INSS e IR'!$B$8,'Tabelas INSS e IR'!$D$8,IF($P87&gt;='Tabelas INSS e IR'!$B$7,($P87*'Tabelas INSS e IR'!$D$7)-'Tabelas INSS e IR'!$E$7,IF($P87&gt;='Tabelas INSS e IR'!$B$6,($P87*'Tabelas INSS e IR'!$D$6)-'Tabelas INSS e IR'!$E$6,IF($P87&gt;='Tabelas INSS e IR'!$B$5,($P87*'Tabelas INSS e IR'!$D$5)-'Tabelas INSS e IR'!$E$5,$P87*'Tabelas INSS e IR'!$D$4)))))</f>
        <v>0</v>
      </c>
      <c r="R87" s="133">
        <f>IF(OR($G87="EST",$G87="EFE"),0,IF($N87&gt;='Tabelas INSS e IR'!$B$8,'Tabelas INSS e IR'!$D$8,IF($N87&gt;='Tabelas INSS e IR'!$B$7,($N87*'Tabelas INSS e IR'!$D$7)-'Tabelas INSS e IR'!$E$7,IF($N87&gt;='Tabelas INSS e IR'!$B$6,($N87*'Tabelas INSS e IR'!$D$6)-'Tabelas INSS e IR'!$E$6,IF($N87&gt;='Tabelas INSS e IR'!$B$5,($N87*'Tabelas INSS e IR'!$D$5)-'Tabelas INSS e IR'!$E$5,$N87*'Tabelas INSS e IR'!$D$4)))))</f>
        <v>0</v>
      </c>
      <c r="S87" s="132"/>
      <c r="T87" s="294">
        <f>(IF(OR($G87="EST",$G87="EFE"),0,IF((Q87+S87)&gt;'Tabelas INSS e IR'!$D$8,'Tabelas INSS e IR'!$D$8-(S87+R87),(Q87-R87))))</f>
        <v>0</v>
      </c>
      <c r="U87" s="392">
        <v>4385.24</v>
      </c>
      <c r="V87" s="137"/>
      <c r="W87" s="247">
        <f t="shared" si="20"/>
        <v>4385.24</v>
      </c>
      <c r="X87" s="291">
        <f t="shared" si="21"/>
        <v>2715</v>
      </c>
      <c r="Y87" s="133">
        <f t="shared" si="22"/>
        <v>7100.24</v>
      </c>
      <c r="Z87" s="133">
        <f>IF($Y87&lt;'Tabelas INSS e IR'!$H$5,0,IF($Y87&lt;'Tabelas INSS e IR'!$H$6,($Y87*'Tabelas INSS e IR'!$J$5)-'Tabelas INSS e IR'!$K$5,IF($Y87&lt;'Tabelas INSS e IR'!$H$7,($Y87*'Tabelas INSS e IR'!$J$6)-'Tabelas INSS e IR'!$K$6,IF($Y87&lt;'Tabelas INSS e IR'!$H$8,($Y87*'Tabelas INSS e IR'!$J$7)-'Tabelas INSS e IR'!$K$7,($Y87*'Tabelas INSS e IR'!$J$8)-'Tabelas INSS e IR'!$K$8))))</f>
        <v>1043.836</v>
      </c>
      <c r="AA87" s="133">
        <f>IF($W87&lt;'Tabelas INSS e IR'!$H$5,0,IF($W87&lt;'Tabelas INSS e IR'!$H$6,($W87*'Tabelas INSS e IR'!$J$5)-'Tabelas INSS e IR'!$K$5,IF($W87&lt;'Tabelas INSS e IR'!$H$7,($W87*'Tabelas INSS e IR'!$J$6)-'Tabelas INSS e IR'!$K$6,IF($W87&lt;'Tabelas INSS e IR'!$H$8,($W87*'Tabelas INSS e IR'!$J$7)-'Tabelas INSS e IR'!$K$7,($W87*'Tabelas INSS e IR'!$J$8)-'Tabelas INSS e IR'!$K$8))))</f>
        <v>311.18899999999996</v>
      </c>
      <c r="AB87" s="294">
        <f t="shared" si="23"/>
        <v>732.64700000000005</v>
      </c>
      <c r="AC87" s="138"/>
      <c r="AD87" s="137"/>
      <c r="AE87" s="139"/>
      <c r="AF87" s="297">
        <f t="shared" si="24"/>
        <v>732.64700000000005</v>
      </c>
      <c r="AG87" s="297">
        <f t="shared" si="16"/>
        <v>1982.3530000000001</v>
      </c>
    </row>
    <row r="88" spans="1:673" s="468" customFormat="1" ht="15" customHeight="1" x14ac:dyDescent="0.25">
      <c r="A88" s="103">
        <v>77</v>
      </c>
      <c r="B88" s="403" t="s">
        <v>372</v>
      </c>
      <c r="C88" s="135">
        <v>31474</v>
      </c>
      <c r="D88" s="104" t="s">
        <v>148</v>
      </c>
      <c r="E88" s="104" t="s">
        <v>316</v>
      </c>
      <c r="F88" s="104" t="s">
        <v>266</v>
      </c>
      <c r="G88" s="104" t="s">
        <v>267</v>
      </c>
      <c r="H88" s="104" t="s">
        <v>373</v>
      </c>
      <c r="I88" s="148" t="s">
        <v>374</v>
      </c>
      <c r="J88" s="104" t="s">
        <v>161</v>
      </c>
      <c r="K88" s="104" t="s">
        <v>375</v>
      </c>
      <c r="L88" s="246">
        <v>0.95</v>
      </c>
      <c r="M88" s="132">
        <f t="shared" si="17"/>
        <v>1719.5</v>
      </c>
      <c r="N88" s="134"/>
      <c r="O88" s="133">
        <f t="shared" si="18"/>
        <v>1719.5</v>
      </c>
      <c r="P88" s="293">
        <f t="shared" si="19"/>
        <v>1719.5</v>
      </c>
      <c r="Q88" s="133">
        <f>IF(OR($G88="EST",$G88="EFE"),0,IF($P88&gt;='Tabelas INSS e IR'!$B$8,'Tabelas INSS e IR'!$D$8,IF($P88&gt;='Tabelas INSS e IR'!$B$7,($P88*'Tabelas INSS e IR'!$D$7)-'Tabelas INSS e IR'!$E$7,IF($P88&gt;='Tabelas INSS e IR'!$B$6,($P88*'Tabelas INSS e IR'!$D$6)-'Tabelas INSS e IR'!$E$6,IF($P88&gt;='Tabelas INSS e IR'!$B$5,($P88*'Tabelas INSS e IR'!$D$5)-'Tabelas INSS e IR'!$E$5,$P88*'Tabelas INSS e IR'!$D$4)))))</f>
        <v>0</v>
      </c>
      <c r="R88" s="133">
        <f>IF(OR($G88="EST",$G88="EFE"),0,IF($N88&gt;='Tabelas INSS e IR'!$B$8,'Tabelas INSS e IR'!$D$8,IF($N88&gt;='Tabelas INSS e IR'!$B$7,($N88*'Tabelas INSS e IR'!$D$7)-'Tabelas INSS e IR'!$E$7,IF($N88&gt;='Tabelas INSS e IR'!$B$6,($N88*'Tabelas INSS e IR'!$D$6)-'Tabelas INSS e IR'!$E$6,IF($N88&gt;='Tabelas INSS e IR'!$B$5,($N88*'Tabelas INSS e IR'!$D$5)-'Tabelas INSS e IR'!$E$5,$N88*'Tabelas INSS e IR'!$D$4)))))</f>
        <v>0</v>
      </c>
      <c r="S88" s="132"/>
      <c r="T88" s="294">
        <f>(IF(OR($G88="EST",$G88="EFE"),0,IF((Q88+S88)&gt;'Tabelas INSS e IR'!$D$8,'Tabelas INSS e IR'!$D$8-(S88+R88),(Q88-R88))))</f>
        <v>0</v>
      </c>
      <c r="U88" s="392">
        <v>3883.06</v>
      </c>
      <c r="V88" s="137"/>
      <c r="W88" s="247">
        <f t="shared" si="20"/>
        <v>3883.06</v>
      </c>
      <c r="X88" s="291">
        <f t="shared" si="21"/>
        <v>1719.5</v>
      </c>
      <c r="Y88" s="133">
        <f t="shared" si="22"/>
        <v>5602.5599999999995</v>
      </c>
      <c r="Z88" s="133">
        <f>IF($Y88&lt;'Tabelas INSS e IR'!$H$5,0,IF($Y88&lt;'Tabelas INSS e IR'!$H$6,($Y88*'Tabelas INSS e IR'!$J$5)-'Tabelas INSS e IR'!$K$5,IF($Y88&lt;'Tabelas INSS e IR'!$H$7,($Y88*'Tabelas INSS e IR'!$J$6)-'Tabelas INSS e IR'!$K$6,IF($Y88&lt;'Tabelas INSS e IR'!$H$8,($Y88*'Tabelas INSS e IR'!$J$7)-'Tabelas INSS e IR'!$K$7,($Y88*'Tabelas INSS e IR'!$J$8)-'Tabelas INSS e IR'!$K$8))))</f>
        <v>631.97399999999993</v>
      </c>
      <c r="AA88" s="133">
        <f>IF($W88&lt;'Tabelas INSS e IR'!$H$5,0,IF($W88&lt;'Tabelas INSS e IR'!$H$6,($W88*'Tabelas INSS e IR'!$J$5)-'Tabelas INSS e IR'!$K$5,IF($W88&lt;'Tabelas INSS e IR'!$H$7,($W88*'Tabelas INSS e IR'!$J$6)-'Tabelas INSS e IR'!$K$6,IF($W88&lt;'Tabelas INSS e IR'!$H$8,($W88*'Tabelas INSS e IR'!$J$7)-'Tabelas INSS e IR'!$K$7,($W88*'Tabelas INSS e IR'!$J$8)-'Tabelas INSS e IR'!$K$8))))</f>
        <v>198.19849999999997</v>
      </c>
      <c r="AB88" s="294">
        <f t="shared" si="23"/>
        <v>433.77549999999997</v>
      </c>
      <c r="AC88" s="138"/>
      <c r="AD88" s="137"/>
      <c r="AE88" s="139"/>
      <c r="AF88" s="297">
        <f t="shared" si="24"/>
        <v>433.77549999999997</v>
      </c>
      <c r="AG88" s="297">
        <f t="shared" si="16"/>
        <v>1285.7245</v>
      </c>
    </row>
    <row r="89" spans="1:673" s="468" customFormat="1" ht="15" customHeight="1" x14ac:dyDescent="0.25">
      <c r="A89" s="104">
        <v>78</v>
      </c>
      <c r="B89" s="403" t="s">
        <v>376</v>
      </c>
      <c r="C89" s="135">
        <v>31240</v>
      </c>
      <c r="D89" s="104" t="s">
        <v>100</v>
      </c>
      <c r="E89" s="104" t="s">
        <v>377</v>
      </c>
      <c r="F89" s="104" t="s">
        <v>266</v>
      </c>
      <c r="G89" s="104" t="s">
        <v>267</v>
      </c>
      <c r="H89" s="136">
        <v>611836</v>
      </c>
      <c r="I89" s="110" t="s">
        <v>378</v>
      </c>
      <c r="J89" s="104" t="s">
        <v>84</v>
      </c>
      <c r="K89" s="104" t="s">
        <v>379</v>
      </c>
      <c r="L89" s="246">
        <v>0.41</v>
      </c>
      <c r="M89" s="132">
        <f t="shared" si="17"/>
        <v>742.09999999999991</v>
      </c>
      <c r="N89" s="134"/>
      <c r="O89" s="133">
        <f t="shared" si="18"/>
        <v>742.09999999999991</v>
      </c>
      <c r="P89" s="293">
        <f t="shared" si="19"/>
        <v>742.09999999999991</v>
      </c>
      <c r="Q89" s="133">
        <f>IF(OR($G89="EST",$G89="EFE"),0,IF($P89&gt;='Tabelas INSS e IR'!$B$8,'Tabelas INSS e IR'!$D$8,IF($P89&gt;='Tabelas INSS e IR'!$B$7,($P89*'Tabelas INSS e IR'!$D$7)-'Tabelas INSS e IR'!$E$7,IF($P89&gt;='Tabelas INSS e IR'!$B$6,($P89*'Tabelas INSS e IR'!$D$6)-'Tabelas INSS e IR'!$E$6,IF($P89&gt;='Tabelas INSS e IR'!$B$5,($P89*'Tabelas INSS e IR'!$D$5)-'Tabelas INSS e IR'!$E$5,$P89*'Tabelas INSS e IR'!$D$4)))))</f>
        <v>0</v>
      </c>
      <c r="R89" s="133">
        <f>IF(OR($G89="EST",$G89="EFE"),0,IF($N89&gt;='Tabelas INSS e IR'!$B$8,'Tabelas INSS e IR'!$D$8,IF($N89&gt;='Tabelas INSS e IR'!$B$7,($N89*'Tabelas INSS e IR'!$D$7)-'Tabelas INSS e IR'!$E$7,IF($N89&gt;='Tabelas INSS e IR'!$B$6,($N89*'Tabelas INSS e IR'!$D$6)-'Tabelas INSS e IR'!$E$6,IF($N89&gt;='Tabelas INSS e IR'!$B$5,($N89*'Tabelas INSS e IR'!$D$5)-'Tabelas INSS e IR'!$E$5,$N89*'Tabelas INSS e IR'!$D$4)))))</f>
        <v>0</v>
      </c>
      <c r="S89" s="132"/>
      <c r="T89" s="294">
        <f>(IF(OR($G89="EST",$G89="EFE"),0,IF((Q89+S89)&gt;'Tabelas INSS e IR'!$D$8,'Tabelas INSS e IR'!$D$8-(S89+R89),(Q89-R89))))</f>
        <v>0</v>
      </c>
      <c r="U89" s="392">
        <v>4868.55</v>
      </c>
      <c r="V89" s="137"/>
      <c r="W89" s="247">
        <f t="shared" si="20"/>
        <v>4868.55</v>
      </c>
      <c r="X89" s="291">
        <f t="shared" si="21"/>
        <v>742.09999999999991</v>
      </c>
      <c r="Y89" s="133">
        <f t="shared" si="22"/>
        <v>5610.65</v>
      </c>
      <c r="Z89" s="133">
        <f>IF($Y89&lt;'Tabelas INSS e IR'!$H$5,0,IF($Y89&lt;'Tabelas INSS e IR'!$H$6,($Y89*'Tabelas INSS e IR'!$J$5)-'Tabelas INSS e IR'!$K$5,IF($Y89&lt;'Tabelas INSS e IR'!$H$7,($Y89*'Tabelas INSS e IR'!$J$6)-'Tabelas INSS e IR'!$K$6,IF($Y89&lt;'Tabelas INSS e IR'!$H$8,($Y89*'Tabelas INSS e IR'!$J$7)-'Tabelas INSS e IR'!$K$7,($Y89*'Tabelas INSS e IR'!$J$8)-'Tabelas INSS e IR'!$K$8))))</f>
        <v>634.19875000000002</v>
      </c>
      <c r="AA89" s="133">
        <f>IF($W89&lt;'Tabelas INSS e IR'!$H$5,0,IF($W89&lt;'Tabelas INSS e IR'!$H$6,($W89*'Tabelas INSS e IR'!$J$5)-'Tabelas INSS e IR'!$K$5,IF($W89&lt;'Tabelas INSS e IR'!$H$7,($W89*'Tabelas INSS e IR'!$J$6)-'Tabelas INSS e IR'!$K$6,IF($W89&lt;'Tabelas INSS e IR'!$H$8,($W89*'Tabelas INSS e IR'!$J$7)-'Tabelas INSS e IR'!$K$7,($W89*'Tabelas INSS e IR'!$J$8)-'Tabelas INSS e IR'!$K$8))))</f>
        <v>430.12125000000015</v>
      </c>
      <c r="AB89" s="294">
        <f t="shared" si="23"/>
        <v>204.07749999999987</v>
      </c>
      <c r="AC89" s="138"/>
      <c r="AD89" s="137"/>
      <c r="AE89" s="139"/>
      <c r="AF89" s="297">
        <f t="shared" si="24"/>
        <v>204.07749999999987</v>
      </c>
      <c r="AG89" s="297">
        <f t="shared" si="16"/>
        <v>538.02250000000004</v>
      </c>
    </row>
    <row r="90" spans="1:673" s="468" customFormat="1" ht="15" customHeight="1" x14ac:dyDescent="0.25">
      <c r="A90" s="103">
        <v>79</v>
      </c>
      <c r="B90" s="403" t="s">
        <v>380</v>
      </c>
      <c r="C90" s="135">
        <v>31476</v>
      </c>
      <c r="D90" s="104" t="s">
        <v>91</v>
      </c>
      <c r="E90" s="104" t="s">
        <v>381</v>
      </c>
      <c r="F90" s="104" t="s">
        <v>266</v>
      </c>
      <c r="G90" s="104" t="s">
        <v>267</v>
      </c>
      <c r="H90" s="104" t="s">
        <v>382</v>
      </c>
      <c r="I90" s="148" t="s">
        <v>383</v>
      </c>
      <c r="J90" s="104" t="s">
        <v>84</v>
      </c>
      <c r="K90" s="104" t="s">
        <v>384</v>
      </c>
      <c r="L90" s="246">
        <v>1.5</v>
      </c>
      <c r="M90" s="132">
        <f t="shared" si="17"/>
        <v>2715</v>
      </c>
      <c r="N90" s="134"/>
      <c r="O90" s="133">
        <f t="shared" si="18"/>
        <v>2715</v>
      </c>
      <c r="P90" s="293">
        <f t="shared" si="19"/>
        <v>2715</v>
      </c>
      <c r="Q90" s="133">
        <f>IF(OR($G90="EST",$G90="EFE"),0,IF($P90&gt;='Tabelas INSS e IR'!$B$8,'Tabelas INSS e IR'!$D$8,IF($P90&gt;='Tabelas INSS e IR'!$B$7,($P90*'Tabelas INSS e IR'!$D$7)-'Tabelas INSS e IR'!$E$7,IF($P90&gt;='Tabelas INSS e IR'!$B$6,($P90*'Tabelas INSS e IR'!$D$6)-'Tabelas INSS e IR'!$E$6,IF($P90&gt;='Tabelas INSS e IR'!$B$5,($P90*'Tabelas INSS e IR'!$D$5)-'Tabelas INSS e IR'!$E$5,$P90*'Tabelas INSS e IR'!$D$4)))))</f>
        <v>0</v>
      </c>
      <c r="R90" s="133">
        <f>IF(OR($G90="EST",$G90="EFE"),0,IF($N90&gt;='Tabelas INSS e IR'!$B$8,'Tabelas INSS e IR'!$D$8,IF($N90&gt;='Tabelas INSS e IR'!$B$7,($N90*'Tabelas INSS e IR'!$D$7)-'Tabelas INSS e IR'!$E$7,IF($N90&gt;='Tabelas INSS e IR'!$B$6,($N90*'Tabelas INSS e IR'!$D$6)-'Tabelas INSS e IR'!$E$6,IF($N90&gt;='Tabelas INSS e IR'!$B$5,($N90*'Tabelas INSS e IR'!$D$5)-'Tabelas INSS e IR'!$E$5,$N90*'Tabelas INSS e IR'!$D$4)))))</f>
        <v>0</v>
      </c>
      <c r="S90" s="132"/>
      <c r="T90" s="294">
        <f>(IF(OR($G90="EST",$G90="EFE"),0,IF((Q90+S90)&gt;'Tabelas INSS e IR'!$D$8,'Tabelas INSS e IR'!$D$8-(S90+R90),(Q90-R90))))</f>
        <v>0</v>
      </c>
      <c r="U90" s="392">
        <v>4427.07</v>
      </c>
      <c r="V90" s="137"/>
      <c r="W90" s="247">
        <f t="shared" si="20"/>
        <v>4427.07</v>
      </c>
      <c r="X90" s="291">
        <f t="shared" si="21"/>
        <v>2715</v>
      </c>
      <c r="Y90" s="133">
        <f t="shared" si="22"/>
        <v>7142.07</v>
      </c>
      <c r="Z90" s="133">
        <f>IF($Y90&lt;'Tabelas INSS e IR'!$H$5,0,IF($Y90&lt;'Tabelas INSS e IR'!$H$6,($Y90*'Tabelas INSS e IR'!$J$5)-'Tabelas INSS e IR'!$K$5,IF($Y90&lt;'Tabelas INSS e IR'!$H$7,($Y90*'Tabelas INSS e IR'!$J$6)-'Tabelas INSS e IR'!$K$6,IF($Y90&lt;'Tabelas INSS e IR'!$H$8,($Y90*'Tabelas INSS e IR'!$J$7)-'Tabelas INSS e IR'!$K$7,($Y90*'Tabelas INSS e IR'!$J$8)-'Tabelas INSS e IR'!$K$8))))</f>
        <v>1055.33925</v>
      </c>
      <c r="AA90" s="133">
        <f>IF($W90&lt;'Tabelas INSS e IR'!$H$5,0,IF($W90&lt;'Tabelas INSS e IR'!$H$6,($W90*'Tabelas INSS e IR'!$J$5)-'Tabelas INSS e IR'!$K$5,IF($W90&lt;'Tabelas INSS e IR'!$H$7,($W90*'Tabelas INSS e IR'!$J$6)-'Tabelas INSS e IR'!$K$6,IF($W90&lt;'Tabelas INSS e IR'!$H$8,($W90*'Tabelas INSS e IR'!$J$7)-'Tabelas INSS e IR'!$K$7,($W90*'Tabelas INSS e IR'!$J$8)-'Tabelas INSS e IR'!$K$8))))</f>
        <v>320.60074999999995</v>
      </c>
      <c r="AB90" s="294">
        <f t="shared" si="23"/>
        <v>734.73850000000004</v>
      </c>
      <c r="AC90" s="138"/>
      <c r="AD90" s="137"/>
      <c r="AE90" s="139"/>
      <c r="AF90" s="297">
        <f t="shared" si="24"/>
        <v>734.73850000000004</v>
      </c>
      <c r="AG90" s="297">
        <f t="shared" si="16"/>
        <v>1980.2615000000001</v>
      </c>
    </row>
    <row r="91" spans="1:673" s="473" customFormat="1" ht="15" customHeight="1" x14ac:dyDescent="0.25">
      <c r="A91" s="103">
        <v>80</v>
      </c>
      <c r="B91" s="403" t="s">
        <v>385</v>
      </c>
      <c r="C91" s="135" t="s">
        <v>386</v>
      </c>
      <c r="D91" s="104" t="s">
        <v>387</v>
      </c>
      <c r="E91" s="104" t="s">
        <v>176</v>
      </c>
      <c r="F91" s="104" t="s">
        <v>266</v>
      </c>
      <c r="G91" s="104" t="s">
        <v>267</v>
      </c>
      <c r="H91" s="104" t="s">
        <v>388</v>
      </c>
      <c r="I91" s="110" t="s">
        <v>389</v>
      </c>
      <c r="J91" s="104" t="s">
        <v>84</v>
      </c>
      <c r="K91" s="104" t="s">
        <v>390</v>
      </c>
      <c r="L91" s="246">
        <v>1.6</v>
      </c>
      <c r="M91" s="132">
        <f t="shared" ref="M91:M122" si="26">$I$10*L91%</f>
        <v>2896</v>
      </c>
      <c r="N91" s="134"/>
      <c r="O91" s="133">
        <f t="shared" ref="O91:O123" si="27">$I$10*L91%</f>
        <v>2896</v>
      </c>
      <c r="P91" s="293">
        <f t="shared" si="19"/>
        <v>2896</v>
      </c>
      <c r="Q91" s="133">
        <f>IF(OR($G91="EST",$G91="EFE"),0,IF($P91&gt;='Tabelas INSS e IR'!$B$8,'Tabelas INSS e IR'!$D$8,IF($P91&gt;='Tabelas INSS e IR'!$B$7,($P91*'Tabelas INSS e IR'!$D$7)-'Tabelas INSS e IR'!$E$7,IF($P91&gt;='Tabelas INSS e IR'!$B$6,($P91*'Tabelas INSS e IR'!$D$6)-'Tabelas INSS e IR'!$E$6,IF($P91&gt;='Tabelas INSS e IR'!$B$5,($P91*'Tabelas INSS e IR'!$D$5)-'Tabelas INSS e IR'!$E$5,$P91*'Tabelas INSS e IR'!$D$4)))))</f>
        <v>0</v>
      </c>
      <c r="R91" s="133">
        <f>IF(OR($G91="EST",$G91="EFE"),0,IF($N91&gt;='Tabelas INSS e IR'!$B$8,'Tabelas INSS e IR'!$D$8,IF($N91&gt;='Tabelas INSS e IR'!$B$7,($N91*'Tabelas INSS e IR'!$D$7)-'Tabelas INSS e IR'!$E$7,IF($N91&gt;='Tabelas INSS e IR'!$B$6,($N91*'Tabelas INSS e IR'!$D$6)-'Tabelas INSS e IR'!$E$6,IF($N91&gt;='Tabelas INSS e IR'!$B$5,($N91*'Tabelas INSS e IR'!$D$5)-'Tabelas INSS e IR'!$E$5,$N91*'Tabelas INSS e IR'!$D$4)))))</f>
        <v>0</v>
      </c>
      <c r="S91" s="132"/>
      <c r="T91" s="294">
        <f>(IF(OR($G91="EST",$G91="EFE"),0,IF((Q91+S91)&gt;'Tabelas INSS e IR'!$D$8,'Tabelas INSS e IR'!$D$8-(S91+R91),(Q91-R91))))</f>
        <v>0</v>
      </c>
      <c r="U91" s="392">
        <v>4427.07</v>
      </c>
      <c r="V91" s="170"/>
      <c r="W91" s="247">
        <f t="shared" si="20"/>
        <v>4427.07</v>
      </c>
      <c r="X91" s="291">
        <f t="shared" si="21"/>
        <v>2896</v>
      </c>
      <c r="Y91" s="133">
        <f t="shared" si="22"/>
        <v>7323.07</v>
      </c>
      <c r="Z91" s="133">
        <f>IF($Y91&lt;'Tabelas INSS e IR'!$H$5,0,IF($Y91&lt;'Tabelas INSS e IR'!$H$6,($Y91*'Tabelas INSS e IR'!$J$5)-'Tabelas INSS e IR'!$K$5,IF($Y91&lt;'Tabelas INSS e IR'!$H$7,($Y91*'Tabelas INSS e IR'!$J$6)-'Tabelas INSS e IR'!$K$6,IF($Y91&lt;'Tabelas INSS e IR'!$H$8,($Y91*'Tabelas INSS e IR'!$J$7)-'Tabelas INSS e IR'!$K$7,($Y91*'Tabelas INSS e IR'!$J$8)-'Tabelas INSS e IR'!$K$8))))</f>
        <v>1105.1142500000001</v>
      </c>
      <c r="AA91" s="133">
        <f>IF($W91&lt;'Tabelas INSS e IR'!$H$5,0,IF($W91&lt;'Tabelas INSS e IR'!$H$6,($W91*'Tabelas INSS e IR'!$J$5)-'Tabelas INSS e IR'!$K$5,IF($W91&lt;'Tabelas INSS e IR'!$H$7,($W91*'Tabelas INSS e IR'!$J$6)-'Tabelas INSS e IR'!$K$6,IF($W91&lt;'Tabelas INSS e IR'!$H$8,($W91*'Tabelas INSS e IR'!$J$7)-'Tabelas INSS e IR'!$K$7,($W91*'Tabelas INSS e IR'!$J$8)-'Tabelas INSS e IR'!$K$8))))</f>
        <v>320.60074999999995</v>
      </c>
      <c r="AB91" s="294">
        <f t="shared" si="23"/>
        <v>784.51350000000014</v>
      </c>
      <c r="AC91" s="154"/>
      <c r="AD91" s="137"/>
      <c r="AE91" s="147"/>
      <c r="AF91" s="297">
        <f t="shared" si="24"/>
        <v>784.51350000000014</v>
      </c>
      <c r="AG91" s="297">
        <f t="shared" si="16"/>
        <v>2111.4865</v>
      </c>
      <c r="AH91" s="469"/>
      <c r="AI91" s="469"/>
      <c r="AJ91" s="469"/>
      <c r="AK91" s="469"/>
      <c r="AL91" s="469"/>
      <c r="AM91" s="469"/>
      <c r="AN91" s="469"/>
      <c r="AO91" s="469"/>
      <c r="AP91" s="469"/>
      <c r="AQ91" s="469"/>
      <c r="AR91" s="469"/>
      <c r="AS91" s="469"/>
      <c r="AT91" s="469"/>
      <c r="AU91" s="469"/>
      <c r="AV91" s="469"/>
      <c r="AW91" s="469"/>
      <c r="AX91" s="469"/>
      <c r="AY91" s="469"/>
      <c r="AZ91" s="469"/>
      <c r="BA91" s="469"/>
      <c r="BB91" s="469"/>
      <c r="BC91" s="469"/>
      <c r="BD91" s="469"/>
      <c r="BE91" s="469"/>
      <c r="BF91" s="469"/>
      <c r="BG91" s="469"/>
      <c r="BH91" s="469"/>
      <c r="BI91" s="469"/>
      <c r="BJ91" s="469"/>
      <c r="BK91" s="469"/>
      <c r="BL91" s="469"/>
      <c r="BM91" s="469"/>
      <c r="BN91" s="469"/>
      <c r="BO91" s="469"/>
      <c r="BP91" s="469"/>
      <c r="BQ91" s="469"/>
      <c r="BR91" s="469"/>
      <c r="BS91" s="469"/>
      <c r="BT91" s="469"/>
      <c r="BU91" s="469"/>
      <c r="BV91" s="469"/>
      <c r="BW91" s="469"/>
      <c r="BX91" s="469"/>
      <c r="BY91" s="469"/>
      <c r="BZ91" s="469"/>
      <c r="CA91" s="469"/>
      <c r="CB91" s="469"/>
      <c r="CC91" s="469"/>
      <c r="CD91" s="469"/>
      <c r="CE91" s="469"/>
      <c r="CF91" s="469"/>
      <c r="CG91" s="469"/>
      <c r="CH91" s="469"/>
      <c r="CI91" s="469"/>
      <c r="CJ91" s="469"/>
      <c r="CK91" s="469"/>
      <c r="CL91" s="469"/>
      <c r="CM91" s="469"/>
      <c r="CN91" s="469"/>
      <c r="CO91" s="469"/>
      <c r="CP91" s="469"/>
      <c r="CQ91" s="469"/>
      <c r="CR91" s="469"/>
      <c r="CS91" s="469"/>
      <c r="CT91" s="469"/>
      <c r="CU91" s="469"/>
      <c r="CV91" s="469"/>
      <c r="CW91" s="469"/>
      <c r="CX91" s="469"/>
      <c r="CY91" s="469"/>
      <c r="CZ91" s="469"/>
      <c r="DA91" s="469"/>
      <c r="DB91" s="469"/>
      <c r="DC91" s="469"/>
      <c r="DD91" s="469"/>
      <c r="DE91" s="469"/>
      <c r="DF91" s="469"/>
      <c r="DG91" s="469"/>
      <c r="DH91" s="469"/>
      <c r="DI91" s="469"/>
      <c r="DJ91" s="469"/>
      <c r="DK91" s="469"/>
      <c r="DL91" s="469"/>
      <c r="DM91" s="469"/>
      <c r="DN91" s="469"/>
      <c r="DO91" s="469"/>
      <c r="DP91" s="469"/>
      <c r="DQ91" s="469"/>
      <c r="DR91" s="469"/>
      <c r="DS91" s="469"/>
      <c r="DT91" s="469"/>
      <c r="DU91" s="469"/>
      <c r="DV91" s="469"/>
      <c r="DW91" s="469"/>
      <c r="DX91" s="469"/>
      <c r="DY91" s="469"/>
      <c r="DZ91" s="469"/>
      <c r="EA91" s="469"/>
      <c r="EB91" s="469"/>
      <c r="EC91" s="469"/>
      <c r="ED91" s="469"/>
      <c r="EE91" s="469"/>
      <c r="EF91" s="469"/>
      <c r="EG91" s="469"/>
      <c r="EH91" s="469"/>
      <c r="EI91" s="469"/>
      <c r="EJ91" s="469"/>
      <c r="EK91" s="469"/>
      <c r="EL91" s="469"/>
      <c r="EM91" s="469"/>
      <c r="EN91" s="469"/>
      <c r="EO91" s="469"/>
      <c r="EP91" s="469"/>
      <c r="EQ91" s="469"/>
      <c r="ER91" s="469"/>
      <c r="ES91" s="469"/>
      <c r="ET91" s="469"/>
      <c r="EU91" s="469"/>
      <c r="EV91" s="469"/>
      <c r="EW91" s="469"/>
      <c r="EX91" s="469"/>
      <c r="EY91" s="469"/>
      <c r="EZ91" s="469"/>
      <c r="FA91" s="469"/>
      <c r="FB91" s="469"/>
      <c r="FC91" s="469"/>
      <c r="FD91" s="469"/>
      <c r="FE91" s="469"/>
      <c r="FF91" s="469"/>
      <c r="FG91" s="469"/>
      <c r="FH91" s="469"/>
      <c r="FI91" s="469"/>
      <c r="FJ91" s="469"/>
      <c r="FK91" s="469"/>
      <c r="FL91" s="469"/>
      <c r="FM91" s="469"/>
      <c r="FN91" s="469"/>
      <c r="FO91" s="469"/>
      <c r="FP91" s="469"/>
      <c r="FQ91" s="469"/>
      <c r="FR91" s="469"/>
      <c r="FS91" s="469"/>
      <c r="FT91" s="469"/>
      <c r="FU91" s="469"/>
      <c r="FV91" s="469"/>
      <c r="FW91" s="469"/>
      <c r="FX91" s="469"/>
      <c r="FY91" s="469"/>
      <c r="FZ91" s="469"/>
      <c r="GA91" s="469"/>
      <c r="GB91" s="469"/>
      <c r="GC91" s="469"/>
      <c r="GD91" s="469"/>
      <c r="GE91" s="469"/>
      <c r="GF91" s="469"/>
      <c r="GG91" s="469"/>
      <c r="GH91" s="469"/>
      <c r="GI91" s="469"/>
      <c r="GJ91" s="469"/>
      <c r="GK91" s="469"/>
      <c r="GL91" s="469"/>
      <c r="GM91" s="469"/>
      <c r="GN91" s="469"/>
      <c r="GO91" s="469"/>
      <c r="GP91" s="469"/>
      <c r="GQ91" s="469"/>
      <c r="GR91" s="469"/>
      <c r="GS91" s="469"/>
      <c r="GT91" s="469"/>
      <c r="GU91" s="469"/>
      <c r="GV91" s="469"/>
      <c r="GW91" s="469"/>
      <c r="GX91" s="469"/>
      <c r="GY91" s="469"/>
      <c r="GZ91" s="469"/>
      <c r="HA91" s="469"/>
      <c r="HB91" s="469"/>
      <c r="HC91" s="469"/>
      <c r="HD91" s="469"/>
      <c r="HE91" s="469"/>
      <c r="HF91" s="469"/>
      <c r="HG91" s="469"/>
      <c r="HH91" s="469"/>
      <c r="HI91" s="469"/>
      <c r="HJ91" s="469"/>
      <c r="HK91" s="469"/>
      <c r="HL91" s="469"/>
      <c r="HM91" s="469"/>
      <c r="HN91" s="469"/>
      <c r="HO91" s="469"/>
      <c r="HP91" s="469"/>
      <c r="HQ91" s="469"/>
      <c r="HR91" s="469"/>
      <c r="HS91" s="469"/>
      <c r="HT91" s="469"/>
      <c r="HU91" s="469"/>
      <c r="HV91" s="469"/>
      <c r="HW91" s="469"/>
      <c r="HX91" s="469"/>
      <c r="HY91" s="469"/>
      <c r="HZ91" s="469"/>
      <c r="IA91" s="469"/>
      <c r="IB91" s="469"/>
      <c r="IC91" s="469"/>
      <c r="ID91" s="469"/>
      <c r="IE91" s="469"/>
      <c r="IF91" s="469"/>
      <c r="IG91" s="469"/>
      <c r="IH91" s="469"/>
      <c r="II91" s="469"/>
      <c r="IJ91" s="469"/>
      <c r="IK91" s="469"/>
      <c r="IL91" s="469"/>
      <c r="IM91" s="469"/>
      <c r="IN91" s="469"/>
      <c r="IO91" s="469"/>
      <c r="IP91" s="469"/>
      <c r="IQ91" s="469"/>
      <c r="IR91" s="469"/>
      <c r="IS91" s="469"/>
      <c r="IT91" s="469"/>
      <c r="IU91" s="469"/>
      <c r="IV91" s="469"/>
      <c r="IW91" s="469"/>
      <c r="IX91" s="469"/>
      <c r="IY91" s="469"/>
      <c r="IZ91" s="469"/>
      <c r="JA91" s="469"/>
      <c r="JB91" s="469"/>
      <c r="JC91" s="469"/>
      <c r="JD91" s="469"/>
      <c r="JE91" s="469"/>
      <c r="JF91" s="469"/>
      <c r="JG91" s="469"/>
      <c r="JH91" s="469"/>
      <c r="JI91" s="469"/>
      <c r="JJ91" s="469"/>
      <c r="JK91" s="469"/>
      <c r="JL91" s="469"/>
      <c r="JM91" s="469"/>
      <c r="JN91" s="469"/>
      <c r="JO91" s="469"/>
      <c r="JP91" s="469"/>
      <c r="JQ91" s="469"/>
      <c r="JR91" s="469"/>
      <c r="JS91" s="469"/>
      <c r="JT91" s="469"/>
      <c r="JU91" s="469"/>
      <c r="JV91" s="469"/>
      <c r="JW91" s="469"/>
      <c r="JX91" s="469"/>
      <c r="JY91" s="469"/>
      <c r="JZ91" s="469"/>
      <c r="KA91" s="469"/>
      <c r="KB91" s="469"/>
      <c r="KC91" s="469"/>
      <c r="KD91" s="469"/>
      <c r="KE91" s="469"/>
      <c r="KF91" s="469"/>
      <c r="KG91" s="469"/>
      <c r="KH91" s="469"/>
      <c r="KI91" s="469"/>
      <c r="KJ91" s="469"/>
      <c r="KK91" s="469"/>
      <c r="KL91" s="469"/>
      <c r="KM91" s="469"/>
      <c r="KN91" s="469"/>
      <c r="KO91" s="469"/>
      <c r="KP91" s="469"/>
      <c r="KQ91" s="469"/>
      <c r="KR91" s="469"/>
      <c r="KS91" s="469"/>
      <c r="KT91" s="469"/>
      <c r="KU91" s="469"/>
      <c r="KV91" s="469"/>
      <c r="KW91" s="469"/>
      <c r="KX91" s="469"/>
      <c r="KY91" s="469"/>
      <c r="KZ91" s="469"/>
      <c r="LA91" s="469"/>
      <c r="LB91" s="469"/>
      <c r="LC91" s="469"/>
      <c r="LD91" s="469"/>
      <c r="LE91" s="469"/>
      <c r="LF91" s="469"/>
      <c r="LG91" s="469"/>
      <c r="LH91" s="469"/>
      <c r="LI91" s="469"/>
      <c r="LJ91" s="469"/>
      <c r="LK91" s="469"/>
      <c r="LL91" s="469"/>
      <c r="LM91" s="469"/>
      <c r="LN91" s="469"/>
      <c r="LO91" s="469"/>
      <c r="LP91" s="469"/>
      <c r="LQ91" s="469"/>
      <c r="LR91" s="469"/>
      <c r="LS91" s="469"/>
      <c r="LT91" s="469"/>
      <c r="LU91" s="469"/>
      <c r="LV91" s="469"/>
      <c r="LW91" s="469"/>
      <c r="LX91" s="469"/>
      <c r="LY91" s="469"/>
      <c r="LZ91" s="469"/>
      <c r="MA91" s="469"/>
      <c r="MB91" s="469"/>
      <c r="MC91" s="469"/>
      <c r="MD91" s="469"/>
      <c r="ME91" s="469"/>
      <c r="MF91" s="469"/>
      <c r="MG91" s="469"/>
      <c r="MH91" s="469"/>
      <c r="MI91" s="469"/>
      <c r="MJ91" s="469"/>
      <c r="MK91" s="469"/>
      <c r="ML91" s="469"/>
      <c r="MM91" s="469"/>
      <c r="MN91" s="469"/>
      <c r="MO91" s="469"/>
      <c r="MP91" s="469"/>
      <c r="MQ91" s="469"/>
      <c r="MR91" s="469"/>
      <c r="MS91" s="469"/>
      <c r="MT91" s="469"/>
      <c r="MU91" s="469"/>
      <c r="MV91" s="469"/>
      <c r="MW91" s="469"/>
      <c r="MX91" s="469"/>
      <c r="MY91" s="469"/>
      <c r="MZ91" s="469"/>
      <c r="NA91" s="469"/>
      <c r="NB91" s="469"/>
      <c r="NC91" s="469"/>
      <c r="ND91" s="469"/>
      <c r="NE91" s="469"/>
      <c r="NF91" s="469"/>
      <c r="NG91" s="469"/>
      <c r="NH91" s="469"/>
      <c r="NI91" s="469"/>
      <c r="NJ91" s="469"/>
      <c r="NK91" s="469"/>
      <c r="NL91" s="469"/>
      <c r="NM91" s="469"/>
      <c r="NN91" s="469"/>
      <c r="NO91" s="469"/>
      <c r="NP91" s="469"/>
      <c r="NQ91" s="469"/>
      <c r="NR91" s="469"/>
      <c r="NS91" s="469"/>
      <c r="NT91" s="469"/>
      <c r="NU91" s="469"/>
      <c r="NV91" s="469"/>
      <c r="NW91" s="469"/>
      <c r="NX91" s="469"/>
      <c r="NY91" s="469"/>
      <c r="NZ91" s="469"/>
      <c r="OA91" s="469"/>
      <c r="OB91" s="469"/>
      <c r="OC91" s="469"/>
      <c r="OD91" s="469"/>
      <c r="OE91" s="469"/>
      <c r="OF91" s="469"/>
      <c r="OG91" s="469"/>
      <c r="OH91" s="469"/>
      <c r="OI91" s="469"/>
      <c r="OJ91" s="469"/>
      <c r="OK91" s="469"/>
      <c r="OL91" s="469"/>
      <c r="OM91" s="469"/>
      <c r="ON91" s="469"/>
      <c r="OO91" s="469"/>
      <c r="OP91" s="469"/>
      <c r="OQ91" s="469"/>
      <c r="OR91" s="469"/>
      <c r="OS91" s="469"/>
      <c r="OT91" s="469"/>
      <c r="OU91" s="469"/>
      <c r="OV91" s="469"/>
      <c r="OW91" s="469"/>
      <c r="OX91" s="469"/>
      <c r="OY91" s="469"/>
      <c r="OZ91" s="469"/>
      <c r="PA91" s="469"/>
      <c r="PB91" s="469"/>
      <c r="PC91" s="469"/>
      <c r="PD91" s="469"/>
      <c r="PE91" s="469"/>
      <c r="PF91" s="469"/>
      <c r="PG91" s="469"/>
      <c r="PH91" s="469"/>
      <c r="PI91" s="469"/>
      <c r="PJ91" s="469"/>
      <c r="PK91" s="469"/>
      <c r="PL91" s="469"/>
      <c r="PM91" s="469"/>
      <c r="PN91" s="469"/>
      <c r="PO91" s="469"/>
      <c r="PP91" s="469"/>
      <c r="PQ91" s="469"/>
      <c r="PR91" s="469"/>
      <c r="PS91" s="469"/>
      <c r="PT91" s="469"/>
      <c r="PU91" s="469"/>
      <c r="PV91" s="469"/>
      <c r="PW91" s="469"/>
      <c r="PX91" s="469"/>
      <c r="PY91" s="469"/>
      <c r="PZ91" s="469"/>
      <c r="QA91" s="469"/>
      <c r="QB91" s="469"/>
      <c r="QC91" s="469"/>
      <c r="QD91" s="469"/>
      <c r="QE91" s="469"/>
      <c r="QF91" s="469"/>
      <c r="QG91" s="469"/>
      <c r="QH91" s="469"/>
      <c r="QI91" s="469"/>
      <c r="QJ91" s="469"/>
      <c r="QK91" s="469"/>
      <c r="QL91" s="469"/>
      <c r="QM91" s="469"/>
      <c r="QN91" s="469"/>
      <c r="QO91" s="469"/>
      <c r="QP91" s="469"/>
      <c r="QQ91" s="469"/>
      <c r="QR91" s="469"/>
      <c r="QS91" s="469"/>
      <c r="QT91" s="469"/>
      <c r="QU91" s="469"/>
      <c r="QV91" s="469"/>
      <c r="QW91" s="469"/>
      <c r="QX91" s="469"/>
      <c r="QY91" s="469"/>
      <c r="QZ91" s="469"/>
      <c r="RA91" s="469"/>
      <c r="RB91" s="469"/>
      <c r="RC91" s="469"/>
      <c r="RD91" s="469"/>
      <c r="RE91" s="469"/>
      <c r="RF91" s="469"/>
      <c r="RG91" s="469"/>
      <c r="RH91" s="469"/>
      <c r="RI91" s="469"/>
      <c r="RJ91" s="469"/>
      <c r="RK91" s="469"/>
      <c r="RL91" s="469"/>
      <c r="RM91" s="469"/>
      <c r="RN91" s="469"/>
      <c r="RO91" s="469"/>
      <c r="RP91" s="469"/>
      <c r="RQ91" s="469"/>
      <c r="RR91" s="469"/>
      <c r="RS91" s="469"/>
      <c r="RT91" s="469"/>
      <c r="RU91" s="469"/>
      <c r="RV91" s="469"/>
      <c r="RW91" s="469"/>
      <c r="RX91" s="469"/>
      <c r="RY91" s="469"/>
      <c r="RZ91" s="469"/>
      <c r="SA91" s="469"/>
      <c r="SB91" s="469"/>
      <c r="SC91" s="469"/>
      <c r="SD91" s="469"/>
      <c r="SE91" s="469"/>
      <c r="SF91" s="469"/>
      <c r="SG91" s="469"/>
      <c r="SH91" s="469"/>
      <c r="SI91" s="469"/>
      <c r="SJ91" s="469"/>
      <c r="SK91" s="469"/>
      <c r="SL91" s="469"/>
      <c r="SM91" s="469"/>
      <c r="SN91" s="469"/>
      <c r="SO91" s="469"/>
      <c r="SP91" s="469"/>
      <c r="SQ91" s="469"/>
      <c r="SR91" s="469"/>
      <c r="SS91" s="469"/>
      <c r="ST91" s="469"/>
      <c r="SU91" s="469"/>
      <c r="SV91" s="469"/>
      <c r="SW91" s="469"/>
      <c r="SX91" s="469"/>
      <c r="SY91" s="469"/>
      <c r="SZ91" s="469"/>
      <c r="TA91" s="469"/>
      <c r="TB91" s="469"/>
      <c r="TC91" s="469"/>
      <c r="TD91" s="469"/>
      <c r="TE91" s="469"/>
      <c r="TF91" s="469"/>
      <c r="TG91" s="469"/>
      <c r="TH91" s="469"/>
      <c r="TI91" s="469"/>
      <c r="TJ91" s="469"/>
      <c r="TK91" s="469"/>
      <c r="TL91" s="469"/>
      <c r="TM91" s="469"/>
      <c r="TN91" s="469"/>
      <c r="TO91" s="469"/>
      <c r="TP91" s="469"/>
      <c r="TQ91" s="469"/>
      <c r="TR91" s="469"/>
      <c r="TS91" s="469"/>
      <c r="TT91" s="469"/>
      <c r="TU91" s="469"/>
      <c r="TV91" s="469"/>
      <c r="TW91" s="469"/>
      <c r="TX91" s="469"/>
      <c r="TY91" s="469"/>
      <c r="TZ91" s="469"/>
      <c r="UA91" s="469"/>
      <c r="UB91" s="469"/>
      <c r="UC91" s="469"/>
      <c r="UD91" s="469"/>
      <c r="UE91" s="469"/>
      <c r="UF91" s="469"/>
      <c r="UG91" s="469"/>
      <c r="UH91" s="469"/>
      <c r="UI91" s="469"/>
      <c r="UJ91" s="469"/>
      <c r="UK91" s="469"/>
      <c r="UL91" s="469"/>
      <c r="UM91" s="469"/>
      <c r="UN91" s="469"/>
      <c r="UO91" s="469"/>
      <c r="UP91" s="469"/>
      <c r="UQ91" s="469"/>
      <c r="UR91" s="469"/>
      <c r="US91" s="469"/>
      <c r="UT91" s="469"/>
      <c r="UU91" s="469"/>
      <c r="UV91" s="469"/>
      <c r="UW91" s="469"/>
      <c r="UX91" s="469"/>
      <c r="UY91" s="469"/>
      <c r="UZ91" s="469"/>
      <c r="VA91" s="469"/>
      <c r="VB91" s="469"/>
      <c r="VC91" s="469"/>
      <c r="VD91" s="469"/>
      <c r="VE91" s="469"/>
      <c r="VF91" s="469"/>
      <c r="VG91" s="469"/>
      <c r="VH91" s="469"/>
      <c r="VI91" s="469"/>
      <c r="VJ91" s="469"/>
      <c r="VK91" s="469"/>
      <c r="VL91" s="469"/>
      <c r="VM91" s="469"/>
      <c r="VN91" s="469"/>
      <c r="VO91" s="469"/>
      <c r="VP91" s="469"/>
      <c r="VQ91" s="469"/>
      <c r="VR91" s="469"/>
      <c r="VS91" s="469"/>
      <c r="VT91" s="469"/>
      <c r="VU91" s="469"/>
      <c r="VV91" s="469"/>
      <c r="VW91" s="469"/>
      <c r="VX91" s="469"/>
      <c r="VY91" s="469"/>
      <c r="VZ91" s="469"/>
      <c r="WA91" s="469"/>
      <c r="WB91" s="469"/>
      <c r="WC91" s="469"/>
      <c r="WD91" s="469"/>
      <c r="WE91" s="469"/>
      <c r="WF91" s="469"/>
      <c r="WG91" s="469"/>
      <c r="WH91" s="469"/>
      <c r="WI91" s="469"/>
      <c r="WJ91" s="469"/>
      <c r="WK91" s="469"/>
      <c r="WL91" s="469"/>
      <c r="WM91" s="469"/>
      <c r="WN91" s="469"/>
      <c r="WO91" s="469"/>
      <c r="WP91" s="469"/>
      <c r="WQ91" s="469"/>
      <c r="WR91" s="469"/>
      <c r="WS91" s="469"/>
      <c r="WT91" s="469"/>
      <c r="WU91" s="469"/>
      <c r="WV91" s="469"/>
      <c r="WW91" s="469"/>
      <c r="WX91" s="469"/>
      <c r="WY91" s="469"/>
      <c r="WZ91" s="469"/>
      <c r="XA91" s="469"/>
      <c r="XB91" s="469"/>
      <c r="XC91" s="469"/>
      <c r="XD91" s="469"/>
      <c r="XE91" s="469"/>
      <c r="XF91" s="469"/>
      <c r="XG91" s="469"/>
      <c r="XH91" s="469"/>
      <c r="XI91" s="469"/>
      <c r="XJ91" s="469"/>
      <c r="XK91" s="469"/>
      <c r="XL91" s="469"/>
      <c r="XM91" s="469"/>
      <c r="XN91" s="469"/>
      <c r="XO91" s="469"/>
      <c r="XP91" s="469"/>
      <c r="XQ91" s="469"/>
      <c r="XR91" s="469"/>
      <c r="XS91" s="469"/>
      <c r="XT91" s="469"/>
      <c r="XU91" s="469"/>
      <c r="XV91" s="469"/>
      <c r="XW91" s="469"/>
      <c r="XX91" s="469"/>
      <c r="XY91" s="469"/>
      <c r="XZ91" s="469"/>
      <c r="YA91" s="469"/>
      <c r="YB91" s="469"/>
      <c r="YC91" s="469"/>
      <c r="YD91" s="469"/>
      <c r="YE91" s="469"/>
      <c r="YF91" s="469"/>
      <c r="YG91" s="469"/>
      <c r="YH91" s="469"/>
      <c r="YI91" s="469"/>
      <c r="YJ91" s="469"/>
      <c r="YK91" s="469"/>
      <c r="YL91" s="469"/>
      <c r="YM91" s="469"/>
      <c r="YN91" s="469"/>
      <c r="YO91" s="469"/>
      <c r="YP91" s="469"/>
      <c r="YQ91" s="469"/>
      <c r="YR91" s="469"/>
      <c r="YS91" s="469"/>
      <c r="YT91" s="469"/>
      <c r="YU91" s="469"/>
      <c r="YV91" s="469"/>
      <c r="YW91" s="469"/>
    </row>
    <row r="92" spans="1:673" s="468" customFormat="1" ht="15" customHeight="1" x14ac:dyDescent="0.25">
      <c r="A92" s="103">
        <v>81</v>
      </c>
      <c r="B92" s="403" t="s">
        <v>391</v>
      </c>
      <c r="C92" s="135">
        <v>31555</v>
      </c>
      <c r="D92" s="104" t="s">
        <v>143</v>
      </c>
      <c r="E92" s="104" t="s">
        <v>176</v>
      </c>
      <c r="F92" s="104" t="s">
        <v>266</v>
      </c>
      <c r="G92" s="104" t="s">
        <v>267</v>
      </c>
      <c r="H92" s="136">
        <v>415377</v>
      </c>
      <c r="I92" s="148" t="s">
        <v>392</v>
      </c>
      <c r="J92" s="104" t="s">
        <v>84</v>
      </c>
      <c r="K92" s="104" t="s">
        <v>393</v>
      </c>
      <c r="L92" s="312">
        <v>0.65</v>
      </c>
      <c r="M92" s="132">
        <f t="shared" si="26"/>
        <v>1176.5</v>
      </c>
      <c r="N92" s="134"/>
      <c r="O92" s="133">
        <f t="shared" si="27"/>
        <v>1176.5</v>
      </c>
      <c r="P92" s="293">
        <f t="shared" si="19"/>
        <v>1176.5</v>
      </c>
      <c r="Q92" s="133">
        <f>IF(OR($G92="EST",$G92="EFE"),0,IF($P92&gt;='Tabelas INSS e IR'!$B$8,'Tabelas INSS e IR'!$D$8,IF($P92&gt;='Tabelas INSS e IR'!$B$7,($P92*'Tabelas INSS e IR'!$D$7)-'Tabelas INSS e IR'!$E$7,IF($P92&gt;='Tabelas INSS e IR'!$B$6,($P92*'Tabelas INSS e IR'!$D$6)-'Tabelas INSS e IR'!$E$6,IF($P92&gt;='Tabelas INSS e IR'!$B$5,($P92*'Tabelas INSS e IR'!$D$5)-'Tabelas INSS e IR'!$E$5,$P92*'Tabelas INSS e IR'!$D$4)))))</f>
        <v>0</v>
      </c>
      <c r="R92" s="133">
        <f>IF(OR($G92="EST",$G92="EFE"),0,IF($N92&gt;='Tabelas INSS e IR'!$B$8,'Tabelas INSS e IR'!$D$8,IF($N92&gt;='Tabelas INSS e IR'!$B$7,($N92*'Tabelas INSS e IR'!$D$7)-'Tabelas INSS e IR'!$E$7,IF($N92&gt;='Tabelas INSS e IR'!$B$6,($N92*'Tabelas INSS e IR'!$D$6)-'Tabelas INSS e IR'!$E$6,IF($N92&gt;='Tabelas INSS e IR'!$B$5,($N92*'Tabelas INSS e IR'!$D$5)-'Tabelas INSS e IR'!$E$5,$N92*'Tabelas INSS e IR'!$D$4)))))</f>
        <v>0</v>
      </c>
      <c r="S92" s="132"/>
      <c r="T92" s="294">
        <f>(IF(OR($G92="EST",$G92="EFE"),0,IF((Q92+S92)&gt;'Tabelas INSS e IR'!$D$8,'Tabelas INSS e IR'!$D$8-(S92+R92),(Q92-R92))))</f>
        <v>0</v>
      </c>
      <c r="U92" s="392">
        <v>5053.1899999999996</v>
      </c>
      <c r="V92" s="137"/>
      <c r="W92" s="247">
        <f t="shared" si="20"/>
        <v>5053.1899999999996</v>
      </c>
      <c r="X92" s="291">
        <f t="shared" si="21"/>
        <v>1176.5</v>
      </c>
      <c r="Y92" s="133">
        <f t="shared" si="22"/>
        <v>6229.69</v>
      </c>
      <c r="Z92" s="133">
        <f>IF($Y92&lt;'Tabelas INSS e IR'!$H$5,0,IF($Y92&lt;'Tabelas INSS e IR'!$H$6,($Y92*'Tabelas INSS e IR'!$J$5)-'Tabelas INSS e IR'!$K$5,IF($Y92&lt;'Tabelas INSS e IR'!$H$7,($Y92*'Tabelas INSS e IR'!$J$6)-'Tabelas INSS e IR'!$K$6,IF($Y92&lt;'Tabelas INSS e IR'!$H$8,($Y92*'Tabelas INSS e IR'!$J$7)-'Tabelas INSS e IR'!$K$7,($Y92*'Tabelas INSS e IR'!$J$8)-'Tabelas INSS e IR'!$K$8))))</f>
        <v>804.43475000000012</v>
      </c>
      <c r="AA92" s="133">
        <f>IF($W92&lt;'Tabelas INSS e IR'!$H$5,0,IF($W92&lt;'Tabelas INSS e IR'!$H$6,($W92*'Tabelas INSS e IR'!$J$5)-'Tabelas INSS e IR'!$K$5,IF($W92&lt;'Tabelas INSS e IR'!$H$7,($W92*'Tabelas INSS e IR'!$J$6)-'Tabelas INSS e IR'!$K$6,IF($W92&lt;'Tabelas INSS e IR'!$H$8,($W92*'Tabelas INSS e IR'!$J$7)-'Tabelas INSS e IR'!$K$7,($W92*'Tabelas INSS e IR'!$J$8)-'Tabelas INSS e IR'!$K$8))))</f>
        <v>480.89724999999999</v>
      </c>
      <c r="AB92" s="294">
        <f t="shared" si="23"/>
        <v>323.53750000000014</v>
      </c>
      <c r="AC92" s="138"/>
      <c r="AD92" s="137"/>
      <c r="AE92" s="139"/>
      <c r="AF92" s="297">
        <f t="shared" si="24"/>
        <v>323.53750000000014</v>
      </c>
      <c r="AG92" s="297">
        <f t="shared" si="16"/>
        <v>852.96249999999986</v>
      </c>
    </row>
    <row r="93" spans="1:673" s="468" customFormat="1" ht="15" customHeight="1" x14ac:dyDescent="0.25">
      <c r="A93" s="104">
        <v>82</v>
      </c>
      <c r="B93" s="403" t="s">
        <v>394</v>
      </c>
      <c r="C93" s="135">
        <v>31474</v>
      </c>
      <c r="D93" s="104" t="s">
        <v>61</v>
      </c>
      <c r="E93" s="104" t="s">
        <v>302</v>
      </c>
      <c r="F93" s="104" t="s">
        <v>266</v>
      </c>
      <c r="G93" s="104" t="s">
        <v>267</v>
      </c>
      <c r="H93" s="104" t="s">
        <v>395</v>
      </c>
      <c r="I93" s="148" t="s">
        <v>396</v>
      </c>
      <c r="J93" s="104" t="s">
        <v>84</v>
      </c>
      <c r="K93" s="104" t="s">
        <v>397</v>
      </c>
      <c r="L93" s="246">
        <v>1.5</v>
      </c>
      <c r="M93" s="132">
        <f t="shared" si="26"/>
        <v>2715</v>
      </c>
      <c r="N93" s="134"/>
      <c r="O93" s="133">
        <f t="shared" si="27"/>
        <v>2715</v>
      </c>
      <c r="P93" s="293">
        <f t="shared" si="19"/>
        <v>2715</v>
      </c>
      <c r="Q93" s="133">
        <f>IF(OR($G93="EST",$G93="EFE"),0,IF($P93&gt;='Tabelas INSS e IR'!$B$8,'Tabelas INSS e IR'!$D$8,IF($P93&gt;='Tabelas INSS e IR'!$B$7,($P93*'Tabelas INSS e IR'!$D$7)-'Tabelas INSS e IR'!$E$7,IF($P93&gt;='Tabelas INSS e IR'!$B$6,($P93*'Tabelas INSS e IR'!$D$6)-'Tabelas INSS e IR'!$E$6,IF($P93&gt;='Tabelas INSS e IR'!$B$5,($P93*'Tabelas INSS e IR'!$D$5)-'Tabelas INSS e IR'!$E$5,$P93*'Tabelas INSS e IR'!$D$4)))))</f>
        <v>0</v>
      </c>
      <c r="R93" s="133">
        <f>IF(OR($G93="EST",$G93="EFE"),0,IF($N93&gt;='Tabelas INSS e IR'!$B$8,'Tabelas INSS e IR'!$D$8,IF($N93&gt;='Tabelas INSS e IR'!$B$7,($N93*'Tabelas INSS e IR'!$D$7)-'Tabelas INSS e IR'!$E$7,IF($N93&gt;='Tabelas INSS e IR'!$B$6,($N93*'Tabelas INSS e IR'!$D$6)-'Tabelas INSS e IR'!$E$6,IF($N93&gt;='Tabelas INSS e IR'!$B$5,($N93*'Tabelas INSS e IR'!$D$5)-'Tabelas INSS e IR'!$E$5,$N93*'Tabelas INSS e IR'!$D$4)))))</f>
        <v>0</v>
      </c>
      <c r="S93" s="132"/>
      <c r="T93" s="294">
        <f>(IF(OR($G93="EST",$G93="EFE"),0,IF((Q93+S93)&gt;'Tabelas INSS e IR'!$D$8,'Tabelas INSS e IR'!$D$8-(S93+R93),(Q93-R93))))</f>
        <v>0</v>
      </c>
      <c r="U93" s="392">
        <v>3661.58</v>
      </c>
      <c r="V93" s="163"/>
      <c r="W93" s="247">
        <f t="shared" si="20"/>
        <v>3661.58</v>
      </c>
      <c r="X93" s="291">
        <f t="shared" si="21"/>
        <v>2715</v>
      </c>
      <c r="Y93" s="133">
        <f t="shared" si="22"/>
        <v>6376.58</v>
      </c>
      <c r="Z93" s="133">
        <f>IF($Y93&lt;'Tabelas INSS e IR'!$H$5,0,IF($Y93&lt;'Tabelas INSS e IR'!$H$6,($Y93*'Tabelas INSS e IR'!$J$5)-'Tabelas INSS e IR'!$K$5,IF($Y93&lt;'Tabelas INSS e IR'!$H$7,($Y93*'Tabelas INSS e IR'!$J$6)-'Tabelas INSS e IR'!$K$6,IF($Y93&lt;'Tabelas INSS e IR'!$H$8,($Y93*'Tabelas INSS e IR'!$J$7)-'Tabelas INSS e IR'!$K$7,($Y93*'Tabelas INSS e IR'!$J$8)-'Tabelas INSS e IR'!$K$8))))</f>
        <v>844.82950000000005</v>
      </c>
      <c r="AA93" s="133">
        <f>IF($W93&lt;'Tabelas INSS e IR'!$H$5,0,IF($W93&lt;'Tabelas INSS e IR'!$H$6,($W93*'Tabelas INSS e IR'!$J$5)-'Tabelas INSS e IR'!$K$5,IF($W93&lt;'Tabelas INSS e IR'!$H$7,($W93*'Tabelas INSS e IR'!$J$6)-'Tabelas INSS e IR'!$K$6,IF($W93&lt;'Tabelas INSS e IR'!$H$8,($W93*'Tabelas INSS e IR'!$J$7)-'Tabelas INSS e IR'!$K$7,($W93*'Tabelas INSS e IR'!$J$8)-'Tabelas INSS e IR'!$K$8))))</f>
        <v>155.07699999999994</v>
      </c>
      <c r="AB93" s="294">
        <f t="shared" si="23"/>
        <v>689.75250000000005</v>
      </c>
      <c r="AC93" s="138"/>
      <c r="AD93" s="137"/>
      <c r="AE93" s="139"/>
      <c r="AF93" s="297">
        <f t="shared" si="24"/>
        <v>689.75250000000005</v>
      </c>
      <c r="AG93" s="297">
        <f t="shared" si="16"/>
        <v>2025.2474999999999</v>
      </c>
    </row>
    <row r="94" spans="1:673" s="468" customFormat="1" ht="15" customHeight="1" x14ac:dyDescent="0.25">
      <c r="A94" s="103">
        <v>83</v>
      </c>
      <c r="B94" s="403" t="s">
        <v>398</v>
      </c>
      <c r="C94" s="135">
        <v>31474</v>
      </c>
      <c r="D94" s="104" t="s">
        <v>100</v>
      </c>
      <c r="E94" s="104" t="s">
        <v>297</v>
      </c>
      <c r="F94" s="104" t="s">
        <v>266</v>
      </c>
      <c r="G94" s="104" t="s">
        <v>267</v>
      </c>
      <c r="H94" s="136">
        <v>1491209</v>
      </c>
      <c r="I94" s="110" t="s">
        <v>399</v>
      </c>
      <c r="J94" s="104" t="s">
        <v>157</v>
      </c>
      <c r="K94" s="104" t="s">
        <v>400</v>
      </c>
      <c r="L94" s="246">
        <v>0.41</v>
      </c>
      <c r="M94" s="132">
        <f t="shared" si="26"/>
        <v>742.09999999999991</v>
      </c>
      <c r="N94" s="134"/>
      <c r="O94" s="133">
        <f t="shared" si="27"/>
        <v>742.09999999999991</v>
      </c>
      <c r="P94" s="293">
        <f t="shared" si="19"/>
        <v>742.09999999999991</v>
      </c>
      <c r="Q94" s="133">
        <f>IF(OR($G94="EST",$G94="EFE"),0,IF($P94&gt;='Tabelas INSS e IR'!$B$8,'Tabelas INSS e IR'!$D$8,IF($P94&gt;='Tabelas INSS e IR'!$B$7,($P94*'Tabelas INSS e IR'!$D$7)-'Tabelas INSS e IR'!$E$7,IF($P94&gt;='Tabelas INSS e IR'!$B$6,($P94*'Tabelas INSS e IR'!$D$6)-'Tabelas INSS e IR'!$E$6,IF($P94&gt;='Tabelas INSS e IR'!$B$5,($P94*'Tabelas INSS e IR'!$D$5)-'Tabelas INSS e IR'!$E$5,$P94*'Tabelas INSS e IR'!$D$4)))))</f>
        <v>0</v>
      </c>
      <c r="R94" s="133">
        <f>IF(OR($G94="EST",$G94="EFE"),0,IF($N94&gt;='Tabelas INSS e IR'!$B$8,'Tabelas INSS e IR'!$D$8,IF($N94&gt;='Tabelas INSS e IR'!$B$7,($N94*'Tabelas INSS e IR'!$D$7)-'Tabelas INSS e IR'!$E$7,IF($N94&gt;='Tabelas INSS e IR'!$B$6,($N94*'Tabelas INSS e IR'!$D$6)-'Tabelas INSS e IR'!$E$6,IF($N94&gt;='Tabelas INSS e IR'!$B$5,($N94*'Tabelas INSS e IR'!$D$5)-'Tabelas INSS e IR'!$E$5,$N94*'Tabelas INSS e IR'!$D$4)))))</f>
        <v>0</v>
      </c>
      <c r="S94" s="132"/>
      <c r="T94" s="294">
        <f>(IF(OR($G94="EST",$G94="EFE"),0,IF((Q94+S94)&gt;'Tabelas INSS e IR'!$D$8,'Tabelas INSS e IR'!$D$8-(S94+R94),(Q94-R94))))</f>
        <v>0</v>
      </c>
      <c r="U94" s="392">
        <v>3859.22</v>
      </c>
      <c r="V94" s="170"/>
      <c r="W94" s="247">
        <f t="shared" si="20"/>
        <v>3859.22</v>
      </c>
      <c r="X94" s="291">
        <f t="shared" si="21"/>
        <v>742.09999999999991</v>
      </c>
      <c r="Y94" s="133">
        <f t="shared" si="22"/>
        <v>4601.32</v>
      </c>
      <c r="Z94" s="133">
        <f>IF($Y94&lt;'Tabelas INSS e IR'!$H$5,0,IF($Y94&lt;'Tabelas INSS e IR'!$H$6,($Y94*'Tabelas INSS e IR'!$J$5)-'Tabelas INSS e IR'!$K$5,IF($Y94&lt;'Tabelas INSS e IR'!$H$7,($Y94*'Tabelas INSS e IR'!$J$6)-'Tabelas INSS e IR'!$K$6,IF($Y94&lt;'Tabelas INSS e IR'!$H$8,($Y94*'Tabelas INSS e IR'!$J$7)-'Tabelas INSS e IR'!$K$7,($Y94*'Tabelas INSS e IR'!$J$8)-'Tabelas INSS e IR'!$K$8))))</f>
        <v>359.80700000000002</v>
      </c>
      <c r="AA94" s="133">
        <f>IF($W94&lt;'Tabelas INSS e IR'!$H$5,0,IF($W94&lt;'Tabelas INSS e IR'!$H$6,($W94*'Tabelas INSS e IR'!$J$5)-'Tabelas INSS e IR'!$K$5,IF($W94&lt;'Tabelas INSS e IR'!$H$7,($W94*'Tabelas INSS e IR'!$J$6)-'Tabelas INSS e IR'!$K$6,IF($W94&lt;'Tabelas INSS e IR'!$H$8,($W94*'Tabelas INSS e IR'!$J$7)-'Tabelas INSS e IR'!$K$7,($W94*'Tabelas INSS e IR'!$J$8)-'Tabelas INSS e IR'!$K$8))))</f>
        <v>192.83449999999993</v>
      </c>
      <c r="AB94" s="294">
        <f t="shared" si="23"/>
        <v>166.97250000000008</v>
      </c>
      <c r="AC94" s="138"/>
      <c r="AD94" s="137"/>
      <c r="AE94" s="139"/>
      <c r="AF94" s="297">
        <f t="shared" si="24"/>
        <v>166.97250000000008</v>
      </c>
      <c r="AG94" s="297">
        <f t="shared" si="16"/>
        <v>575.12749999999983</v>
      </c>
    </row>
    <row r="95" spans="1:673" s="460" customFormat="1" ht="15" customHeight="1" x14ac:dyDescent="0.25">
      <c r="A95" s="103">
        <v>84</v>
      </c>
      <c r="B95" s="498" t="s">
        <v>561</v>
      </c>
      <c r="C95" s="404">
        <v>31474</v>
      </c>
      <c r="D95" s="405" t="s">
        <v>61</v>
      </c>
      <c r="E95" s="405" t="s">
        <v>302</v>
      </c>
      <c r="F95" s="405" t="s">
        <v>266</v>
      </c>
      <c r="G95" s="405" t="s">
        <v>267</v>
      </c>
      <c r="H95" s="405">
        <v>637089</v>
      </c>
      <c r="I95" s="405" t="s">
        <v>401</v>
      </c>
      <c r="J95" s="405" t="s">
        <v>157</v>
      </c>
      <c r="K95" s="405" t="s">
        <v>402</v>
      </c>
      <c r="L95" s="499">
        <v>1.1499999999999999</v>
      </c>
      <c r="M95" s="500">
        <f t="shared" si="26"/>
        <v>2081.5</v>
      </c>
      <c r="N95" s="502"/>
      <c r="O95" s="501">
        <f t="shared" si="27"/>
        <v>2081.5</v>
      </c>
      <c r="P95" s="503">
        <f t="shared" si="19"/>
        <v>2081.5</v>
      </c>
      <c r="Q95" s="501">
        <f>IF(OR($G95="EST",$G95="EFE"),0,IF($P95&gt;='Tabelas INSS e IR'!$B$8,'Tabelas INSS e IR'!$D$8,IF($P95&gt;='Tabelas INSS e IR'!$B$7,($P95*'Tabelas INSS e IR'!$D$7)-'Tabelas INSS e IR'!$E$7,IF($P95&gt;='Tabelas INSS e IR'!$B$6,($P95*'Tabelas INSS e IR'!$D$6)-'Tabelas INSS e IR'!$E$6,IF($P95&gt;='Tabelas INSS e IR'!$B$5,($P95*'Tabelas INSS e IR'!$D$5)-'Tabelas INSS e IR'!$E$5,$P95*'Tabelas INSS e IR'!$D$4)))))</f>
        <v>0</v>
      </c>
      <c r="R95" s="501">
        <f>IF(OR($G95="EST",$G95="EFE"),0,IF($N95&gt;='Tabelas INSS e IR'!$B$8,'Tabelas INSS e IR'!$D$8,IF($N95&gt;='Tabelas INSS e IR'!$B$7,($N95*'Tabelas INSS e IR'!$D$7)-'Tabelas INSS e IR'!$E$7,IF($N95&gt;='Tabelas INSS e IR'!$B$6,($N95*'Tabelas INSS e IR'!$D$6)-'Tabelas INSS e IR'!$E$6,IF($N95&gt;='Tabelas INSS e IR'!$B$5,($N95*'Tabelas INSS e IR'!$D$5)-'Tabelas INSS e IR'!$E$5,$N95*'Tabelas INSS e IR'!$D$4)))))</f>
        <v>0</v>
      </c>
      <c r="S95" s="500"/>
      <c r="T95" s="504">
        <f>(IF(OR($G95="EST",$G95="EFE"),0,IF((Q95+S95)&gt;'Tabelas INSS e IR'!$D$8,'Tabelas INSS e IR'!$D$8-(S95+R95),(Q95-R95))))</f>
        <v>0</v>
      </c>
      <c r="U95" s="478">
        <v>3530.8</v>
      </c>
      <c r="V95" s="505"/>
      <c r="W95" s="506">
        <f t="shared" si="20"/>
        <v>3530.8</v>
      </c>
      <c r="X95" s="507">
        <f t="shared" si="21"/>
        <v>2081.5</v>
      </c>
      <c r="Y95" s="501">
        <f t="shared" si="22"/>
        <v>5612.3</v>
      </c>
      <c r="Z95" s="501">
        <f>IF($Y95&lt;'Tabelas INSS e IR'!$H$5,0,IF($Y95&lt;'Tabelas INSS e IR'!$H$6,($Y95*'Tabelas INSS e IR'!$J$5)-'Tabelas INSS e IR'!$K$5,IF($Y95&lt;'Tabelas INSS e IR'!$H$7,($Y95*'Tabelas INSS e IR'!$J$6)-'Tabelas INSS e IR'!$K$6,IF($Y95&lt;'Tabelas INSS e IR'!$H$8,($Y95*'Tabelas INSS e IR'!$J$7)-'Tabelas INSS e IR'!$K$7,($Y95*'Tabelas INSS e IR'!$J$8)-'Tabelas INSS e IR'!$K$8))))</f>
        <v>634.65250000000015</v>
      </c>
      <c r="AA95" s="501">
        <f>IF($W95&lt;'Tabelas INSS e IR'!$H$5,0,IF($W95&lt;'Tabelas INSS e IR'!$H$6,($W95*'Tabelas INSS e IR'!$J$5)-'Tabelas INSS e IR'!$K$5,IF($W95&lt;'Tabelas INSS e IR'!$H$7,($W95*'Tabelas INSS e IR'!$J$6)-'Tabelas INSS e IR'!$K$6,IF($W95&lt;'Tabelas INSS e IR'!$H$8,($W95*'Tabelas INSS e IR'!$J$7)-'Tabelas INSS e IR'!$K$7,($W95*'Tabelas INSS e IR'!$J$8)-'Tabelas INSS e IR'!$K$8))))</f>
        <v>135.45999999999998</v>
      </c>
      <c r="AB95" s="504">
        <f t="shared" si="23"/>
        <v>499.19250000000017</v>
      </c>
      <c r="AC95" s="138"/>
      <c r="AD95" s="137"/>
      <c r="AE95" s="139"/>
      <c r="AF95" s="297">
        <f t="shared" si="24"/>
        <v>499.19250000000017</v>
      </c>
      <c r="AG95" s="297">
        <f t="shared" si="16"/>
        <v>1582.3074999999999</v>
      </c>
    </row>
    <row r="96" spans="1:673" s="468" customFormat="1" ht="15" customHeight="1" x14ac:dyDescent="0.25">
      <c r="A96" s="103">
        <v>85</v>
      </c>
      <c r="B96" s="403" t="s">
        <v>403</v>
      </c>
      <c r="C96" s="135">
        <v>31474</v>
      </c>
      <c r="D96" s="104" t="s">
        <v>191</v>
      </c>
      <c r="E96" s="104" t="s">
        <v>176</v>
      </c>
      <c r="F96" s="104" t="s">
        <v>266</v>
      </c>
      <c r="G96" s="104" t="s">
        <v>267</v>
      </c>
      <c r="H96" s="104" t="s">
        <v>404</v>
      </c>
      <c r="I96" s="110" t="s">
        <v>405</v>
      </c>
      <c r="J96" s="104" t="s">
        <v>203</v>
      </c>
      <c r="K96" s="104" t="s">
        <v>406</v>
      </c>
      <c r="L96" s="246">
        <v>0.75</v>
      </c>
      <c r="M96" s="132">
        <f t="shared" si="26"/>
        <v>1357.5</v>
      </c>
      <c r="N96" s="134"/>
      <c r="O96" s="133">
        <f t="shared" si="27"/>
        <v>1357.5</v>
      </c>
      <c r="P96" s="293">
        <f t="shared" si="19"/>
        <v>1357.5</v>
      </c>
      <c r="Q96" s="133">
        <f>IF(OR($G96="EST",$G96="EFE"),0,IF($P96&gt;='Tabelas INSS e IR'!$B$8,'Tabelas INSS e IR'!$D$8,IF($P96&gt;='Tabelas INSS e IR'!$B$7,($P96*'Tabelas INSS e IR'!$D$7)-'Tabelas INSS e IR'!$E$7,IF($P96&gt;='Tabelas INSS e IR'!$B$6,($P96*'Tabelas INSS e IR'!$D$6)-'Tabelas INSS e IR'!$E$6,IF($P96&gt;='Tabelas INSS e IR'!$B$5,($P96*'Tabelas INSS e IR'!$D$5)-'Tabelas INSS e IR'!$E$5,$P96*'Tabelas INSS e IR'!$D$4)))))</f>
        <v>0</v>
      </c>
      <c r="R96" s="133">
        <f>IF(OR($G96="EST",$G96="EFE"),0,IF($N96&gt;='Tabelas INSS e IR'!$B$8,'Tabelas INSS e IR'!$D$8,IF($N96&gt;='Tabelas INSS e IR'!$B$7,($N96*'Tabelas INSS e IR'!$D$7)-'Tabelas INSS e IR'!$E$7,IF($N96&gt;='Tabelas INSS e IR'!$B$6,($N96*'Tabelas INSS e IR'!$D$6)-'Tabelas INSS e IR'!$E$6,IF($N96&gt;='Tabelas INSS e IR'!$B$5,($N96*'Tabelas INSS e IR'!$D$5)-'Tabelas INSS e IR'!$E$5,$N96*'Tabelas INSS e IR'!$D$4)))))</f>
        <v>0</v>
      </c>
      <c r="S96" s="132"/>
      <c r="T96" s="294">
        <f>(IF(OR($G96="EST",$G96="EFE"),0,IF((Q96+S96)&gt;'Tabelas INSS e IR'!$D$8,'Tabelas INSS e IR'!$D$8-(S96+R96),(Q96-R96))))</f>
        <v>0</v>
      </c>
      <c r="U96" s="392">
        <v>4123.3100000000004</v>
      </c>
      <c r="V96" s="137"/>
      <c r="W96" s="247">
        <f t="shared" si="20"/>
        <v>4123.3100000000004</v>
      </c>
      <c r="X96" s="291">
        <f t="shared" si="21"/>
        <v>1357.5</v>
      </c>
      <c r="Y96" s="133">
        <f t="shared" si="22"/>
        <v>5480.81</v>
      </c>
      <c r="Z96" s="133">
        <f>IF($Y96&lt;'Tabelas INSS e IR'!$H$5,0,IF($Y96&lt;'Tabelas INSS e IR'!$H$6,($Y96*'Tabelas INSS e IR'!$J$5)-'Tabelas INSS e IR'!$K$5,IF($Y96&lt;'Tabelas INSS e IR'!$H$7,($Y96*'Tabelas INSS e IR'!$J$6)-'Tabelas INSS e IR'!$K$6,IF($Y96&lt;'Tabelas INSS e IR'!$H$8,($Y96*'Tabelas INSS e IR'!$J$7)-'Tabelas INSS e IR'!$K$7,($Y96*'Tabelas INSS e IR'!$J$8)-'Tabelas INSS e IR'!$K$8))))</f>
        <v>598.49275000000011</v>
      </c>
      <c r="AA96" s="133">
        <f>IF($W96&lt;'Tabelas INSS e IR'!$H$5,0,IF($W96&lt;'Tabelas INSS e IR'!$H$6,($W96*'Tabelas INSS e IR'!$J$5)-'Tabelas INSS e IR'!$K$5,IF($W96&lt;'Tabelas INSS e IR'!$H$7,($W96*'Tabelas INSS e IR'!$J$6)-'Tabelas INSS e IR'!$K$6,IF($W96&lt;'Tabelas INSS e IR'!$H$8,($W96*'Tabelas INSS e IR'!$J$7)-'Tabelas INSS e IR'!$K$7,($W96*'Tabelas INSS e IR'!$J$8)-'Tabelas INSS e IR'!$K$8))))</f>
        <v>252.25475000000006</v>
      </c>
      <c r="AB96" s="294">
        <f t="shared" si="23"/>
        <v>346.23800000000006</v>
      </c>
      <c r="AC96" s="138"/>
      <c r="AD96" s="137"/>
      <c r="AE96" s="139"/>
      <c r="AF96" s="297">
        <f t="shared" si="24"/>
        <v>346.23800000000006</v>
      </c>
      <c r="AG96" s="297">
        <f t="shared" si="16"/>
        <v>1011.2619999999999</v>
      </c>
    </row>
    <row r="97" spans="1:33" s="468" customFormat="1" ht="15" customHeight="1" x14ac:dyDescent="0.25">
      <c r="A97" s="104">
        <v>86</v>
      </c>
      <c r="B97" s="403" t="s">
        <v>407</v>
      </c>
      <c r="C97" s="135">
        <v>32295</v>
      </c>
      <c r="D97" s="104" t="s">
        <v>61</v>
      </c>
      <c r="E97" s="104" t="s">
        <v>176</v>
      </c>
      <c r="F97" s="104" t="s">
        <v>266</v>
      </c>
      <c r="G97" s="104" t="s">
        <v>267</v>
      </c>
      <c r="H97" s="104" t="s">
        <v>408</v>
      </c>
      <c r="I97" s="148" t="s">
        <v>409</v>
      </c>
      <c r="J97" s="104" t="s">
        <v>84</v>
      </c>
      <c r="K97" s="104" t="s">
        <v>410</v>
      </c>
      <c r="L97" s="246">
        <v>1.5</v>
      </c>
      <c r="M97" s="132">
        <f t="shared" si="26"/>
        <v>2715</v>
      </c>
      <c r="N97" s="134"/>
      <c r="O97" s="133">
        <f t="shared" si="27"/>
        <v>2715</v>
      </c>
      <c r="P97" s="293">
        <f t="shared" si="19"/>
        <v>2715</v>
      </c>
      <c r="Q97" s="133">
        <f>IF(OR($G97="EST",$G97="EFE"),0,IF($P97&gt;='Tabelas INSS e IR'!$B$8,'Tabelas INSS e IR'!$D$8,IF($P97&gt;='Tabelas INSS e IR'!$B$7,($P97*'Tabelas INSS e IR'!$D$7)-'Tabelas INSS e IR'!$E$7,IF($P97&gt;='Tabelas INSS e IR'!$B$6,($P97*'Tabelas INSS e IR'!$D$6)-'Tabelas INSS e IR'!$E$6,IF($P97&gt;='Tabelas INSS e IR'!$B$5,($P97*'Tabelas INSS e IR'!$D$5)-'Tabelas INSS e IR'!$E$5,$P97*'Tabelas INSS e IR'!$D$4)))))</f>
        <v>0</v>
      </c>
      <c r="R97" s="133">
        <f>IF(OR($G97="EST",$G97="EFE"),0,IF($N97&gt;='Tabelas INSS e IR'!$B$8,'Tabelas INSS e IR'!$D$8,IF($N97&gt;='Tabelas INSS e IR'!$B$7,($N97*'Tabelas INSS e IR'!$D$7)-'Tabelas INSS e IR'!$E$7,IF($N97&gt;='Tabelas INSS e IR'!$B$6,($N97*'Tabelas INSS e IR'!$D$6)-'Tabelas INSS e IR'!$E$6,IF($N97&gt;='Tabelas INSS e IR'!$B$5,($N97*'Tabelas INSS e IR'!$D$5)-'Tabelas INSS e IR'!$E$5,$N97*'Tabelas INSS e IR'!$D$4)))))</f>
        <v>0</v>
      </c>
      <c r="S97" s="132"/>
      <c r="T97" s="294">
        <f>(IF(OR($G97="EST",$G97="EFE"),0,IF((Q97+S97)&gt;'Tabelas INSS e IR'!$D$8,'Tabelas INSS e IR'!$D$8-(S97+R97),(Q97-R97))))</f>
        <v>0</v>
      </c>
      <c r="U97" s="392">
        <v>3154.17</v>
      </c>
      <c r="V97" s="137"/>
      <c r="W97" s="247">
        <f t="shared" si="20"/>
        <v>3154.17</v>
      </c>
      <c r="X97" s="291">
        <f t="shared" si="21"/>
        <v>2715</v>
      </c>
      <c r="Y97" s="133">
        <f t="shared" si="22"/>
        <v>5869.17</v>
      </c>
      <c r="Z97" s="133">
        <f>IF($Y97&lt;'Tabelas INSS e IR'!$H$5,0,IF($Y97&lt;'Tabelas INSS e IR'!$H$6,($Y97*'Tabelas INSS e IR'!$J$5)-'Tabelas INSS e IR'!$K$5,IF($Y97&lt;'Tabelas INSS e IR'!$H$7,($Y97*'Tabelas INSS e IR'!$J$6)-'Tabelas INSS e IR'!$K$6,IF($Y97&lt;'Tabelas INSS e IR'!$H$8,($Y97*'Tabelas INSS e IR'!$J$7)-'Tabelas INSS e IR'!$K$7,($Y97*'Tabelas INSS e IR'!$J$8)-'Tabelas INSS e IR'!$K$8))))</f>
        <v>705.29175000000009</v>
      </c>
      <c r="AA97" s="133">
        <f>IF($W97&lt;'Tabelas INSS e IR'!$H$5,0,IF($W97&lt;'Tabelas INSS e IR'!$H$6,($W97*'Tabelas INSS e IR'!$J$5)-'Tabelas INSS e IR'!$K$5,IF($W97&lt;'Tabelas INSS e IR'!$H$7,($W97*'Tabelas INSS e IR'!$J$6)-'Tabelas INSS e IR'!$K$6,IF($W97&lt;'Tabelas INSS e IR'!$H$8,($W97*'Tabelas INSS e IR'!$J$7)-'Tabelas INSS e IR'!$K$7,($W97*'Tabelas INSS e IR'!$J$8)-'Tabelas INSS e IR'!$K$8))))</f>
        <v>78.965499999999963</v>
      </c>
      <c r="AB97" s="294">
        <f t="shared" si="23"/>
        <v>626.32625000000007</v>
      </c>
      <c r="AC97" s="138"/>
      <c r="AD97" s="137"/>
      <c r="AE97" s="139"/>
      <c r="AF97" s="297">
        <f t="shared" si="24"/>
        <v>626.32625000000007</v>
      </c>
      <c r="AG97" s="297">
        <f t="shared" si="16"/>
        <v>2088.6737499999999</v>
      </c>
    </row>
    <row r="98" spans="1:33" s="468" customFormat="1" ht="15" customHeight="1" x14ac:dyDescent="0.25">
      <c r="A98" s="103">
        <v>87</v>
      </c>
      <c r="B98" s="528" t="s">
        <v>411</v>
      </c>
      <c r="C98" s="155">
        <v>42198</v>
      </c>
      <c r="D98" s="111" t="s">
        <v>412</v>
      </c>
      <c r="E98" s="111" t="s">
        <v>413</v>
      </c>
      <c r="F98" s="111" t="s">
        <v>63</v>
      </c>
      <c r="G98" s="111" t="s">
        <v>64</v>
      </c>
      <c r="H98" s="149" t="s">
        <v>414</v>
      </c>
      <c r="I98" s="150" t="s">
        <v>415</v>
      </c>
      <c r="J98" s="111" t="s">
        <v>104</v>
      </c>
      <c r="K98" s="111" t="s">
        <v>416</v>
      </c>
      <c r="L98" s="246">
        <v>0.95</v>
      </c>
      <c r="M98" s="132">
        <f t="shared" si="26"/>
        <v>1719.5</v>
      </c>
      <c r="N98" s="392">
        <v>1968.04</v>
      </c>
      <c r="O98" s="133">
        <f t="shared" si="27"/>
        <v>1719.5</v>
      </c>
      <c r="P98" s="293">
        <f t="shared" si="19"/>
        <v>3687.54</v>
      </c>
      <c r="Q98" s="133">
        <f>IF(OR($G98="EST",$G98="EFE"),0,IF($P98&gt;='Tabelas INSS e IR'!$B$8,'Tabelas INSS e IR'!$D$8,IF($P98&gt;='Tabelas INSS e IR'!$B$7,($P98*'Tabelas INSS e IR'!$D$7)-'Tabelas INSS e IR'!$E$7,IF($P98&gt;='Tabelas INSS e IR'!$B$6,($P98*'Tabelas INSS e IR'!$D$6)-'Tabelas INSS e IR'!$E$6,IF($P98&gt;='Tabelas INSS e IR'!$B$5,($P98*'Tabelas INSS e IR'!$D$5)-'Tabelas INSS e IR'!$E$5,$P98*'Tabelas INSS e IR'!$D$4)))))</f>
        <v>335.91480000000001</v>
      </c>
      <c r="R98" s="133">
        <f>IF(OR($G98="EST",$G98="EFE"),0,IF($N98&gt;='Tabelas INSS e IR'!$B$8,'Tabelas INSS e IR'!$D$8,IF($N98&gt;='Tabelas INSS e IR'!$B$7,($N98*'Tabelas INSS e IR'!$D$7)-'Tabelas INSS e IR'!$E$7,IF($N98&gt;='Tabelas INSS e IR'!$B$6,($N98*'Tabelas INSS e IR'!$D$6)-'Tabelas INSS e IR'!$E$6,IF($N98&gt;='Tabelas INSS e IR'!$B$5,($N98*'Tabelas INSS e IR'!$D$5)-'Tabelas INSS e IR'!$E$5,$N98*'Tabelas INSS e IR'!$D$4)))))</f>
        <v>154.35359999999997</v>
      </c>
      <c r="S98" s="132"/>
      <c r="T98" s="294">
        <f>(IF(OR($G98="EST",$G98="EFE"),0,IF((Q98+S98)&gt;'Tabelas INSS e IR'!$D$8,'Tabelas INSS e IR'!$D$8-(S98+R98),(Q98-R98))))</f>
        <v>181.56120000000004</v>
      </c>
      <c r="U98" s="392">
        <f t="shared" si="25"/>
        <v>1813.6864</v>
      </c>
      <c r="V98" s="137"/>
      <c r="W98" s="247">
        <f t="shared" si="20"/>
        <v>1813.6864</v>
      </c>
      <c r="X98" s="291">
        <f t="shared" si="21"/>
        <v>1537.9387999999999</v>
      </c>
      <c r="Y98" s="133">
        <f t="shared" si="22"/>
        <v>3351.6251999999999</v>
      </c>
      <c r="Z98" s="133">
        <f>IF($Y98&lt;'Tabelas INSS e IR'!$H$5,0,IF($Y98&lt;'Tabelas INSS e IR'!$H$6,($Y98*'Tabelas INSS e IR'!$J$5)-'Tabelas INSS e IR'!$K$5,IF($Y98&lt;'Tabelas INSS e IR'!$H$7,($Y98*'Tabelas INSS e IR'!$J$6)-'Tabelas INSS e IR'!$K$6,IF($Y98&lt;'Tabelas INSS e IR'!$H$8,($Y98*'Tabelas INSS e IR'!$J$7)-'Tabelas INSS e IR'!$K$7,($Y98*'Tabelas INSS e IR'!$J$8)-'Tabelas INSS e IR'!$K$8))))</f>
        <v>108.58377999999993</v>
      </c>
      <c r="AA98" s="133">
        <f>IF($W98&lt;'Tabelas INSS e IR'!$H$5,0,IF($W98&lt;'Tabelas INSS e IR'!$H$6,($W98*'Tabelas INSS e IR'!$J$5)-'Tabelas INSS e IR'!$K$5,IF($W98&lt;'Tabelas INSS e IR'!$H$7,($W98*'Tabelas INSS e IR'!$J$6)-'Tabelas INSS e IR'!$K$6,IF($W98&lt;'Tabelas INSS e IR'!$H$8,($W98*'Tabelas INSS e IR'!$J$7)-'Tabelas INSS e IR'!$K$7,($W98*'Tabelas INSS e IR'!$J$8)-'Tabelas INSS e IR'!$K$8))))</f>
        <v>0</v>
      </c>
      <c r="AB98" s="294">
        <f t="shared" si="23"/>
        <v>108.58377999999993</v>
      </c>
      <c r="AC98" s="138"/>
      <c r="AD98" s="137"/>
      <c r="AE98" s="139"/>
      <c r="AF98" s="297">
        <f t="shared" si="24"/>
        <v>290.14497999999998</v>
      </c>
      <c r="AG98" s="297">
        <f t="shared" si="16"/>
        <v>1429.35502</v>
      </c>
    </row>
    <row r="99" spans="1:33" s="468" customFormat="1" ht="15" customHeight="1" x14ac:dyDescent="0.25">
      <c r="A99" s="103">
        <v>88</v>
      </c>
      <c r="B99" s="403" t="s">
        <v>417</v>
      </c>
      <c r="C99" s="135">
        <v>44256</v>
      </c>
      <c r="D99" s="104" t="s">
        <v>148</v>
      </c>
      <c r="E99" s="104" t="s">
        <v>418</v>
      </c>
      <c r="F99" s="104" t="s">
        <v>63</v>
      </c>
      <c r="G99" s="104" t="s">
        <v>64</v>
      </c>
      <c r="H99" s="136" t="s">
        <v>419</v>
      </c>
      <c r="I99" s="148" t="s">
        <v>420</v>
      </c>
      <c r="J99" s="104" t="s">
        <v>206</v>
      </c>
      <c r="K99" s="104" t="s">
        <v>421</v>
      </c>
      <c r="L99" s="246">
        <v>1.1000000000000001</v>
      </c>
      <c r="M99" s="132">
        <f t="shared" si="26"/>
        <v>1991.0000000000002</v>
      </c>
      <c r="N99" s="392">
        <v>1968.04</v>
      </c>
      <c r="O99" s="133">
        <f t="shared" si="27"/>
        <v>1991.0000000000002</v>
      </c>
      <c r="P99" s="293">
        <f t="shared" si="19"/>
        <v>3959.04</v>
      </c>
      <c r="Q99" s="133">
        <f>IF(OR($G99="EST",$G99="EFE"),0,IF($P99&gt;='Tabelas INSS e IR'!$B$8,'Tabelas INSS e IR'!$D$8,IF($P99&gt;='Tabelas INSS e IR'!$B$7,($P99*'Tabelas INSS e IR'!$D$7)-'Tabelas INSS e IR'!$E$7,IF($P99&gt;='Tabelas INSS e IR'!$B$6,($P99*'Tabelas INSS e IR'!$D$6)-'Tabelas INSS e IR'!$E$6,IF($P99&gt;='Tabelas INSS e IR'!$B$5,($P99*'Tabelas INSS e IR'!$D$5)-'Tabelas INSS e IR'!$E$5,$P99*'Tabelas INSS e IR'!$D$4)))))</f>
        <v>368.49479999999994</v>
      </c>
      <c r="R99" s="133">
        <f>IF(OR($G99="EST",$G99="EFE"),0,IF($N99&gt;='Tabelas INSS e IR'!$B$8,'Tabelas INSS e IR'!$D$8,IF($N99&gt;='Tabelas INSS e IR'!$B$7,($N99*'Tabelas INSS e IR'!$D$7)-'Tabelas INSS e IR'!$E$7,IF($N99&gt;='Tabelas INSS e IR'!$B$6,($N99*'Tabelas INSS e IR'!$D$6)-'Tabelas INSS e IR'!$E$6,IF($N99&gt;='Tabelas INSS e IR'!$B$5,($N99*'Tabelas INSS e IR'!$D$5)-'Tabelas INSS e IR'!$E$5,$N99*'Tabelas INSS e IR'!$D$4)))))</f>
        <v>154.35359999999997</v>
      </c>
      <c r="S99" s="132"/>
      <c r="T99" s="294">
        <f>(IF(OR($G99="EST",$G99="EFE"),0,IF((Q99+S99)&gt;'Tabelas INSS e IR'!$D$8,'Tabelas INSS e IR'!$D$8-(S99+R99),(Q99-R99))))</f>
        <v>214.14119999999997</v>
      </c>
      <c r="U99" s="392">
        <f t="shared" si="25"/>
        <v>1813.6864</v>
      </c>
      <c r="V99" s="137"/>
      <c r="W99" s="247">
        <f t="shared" si="20"/>
        <v>1813.6864</v>
      </c>
      <c r="X99" s="291">
        <f t="shared" si="21"/>
        <v>1776.8588000000002</v>
      </c>
      <c r="Y99" s="133">
        <f t="shared" si="22"/>
        <v>3590.5452000000005</v>
      </c>
      <c r="Z99" s="133">
        <f>IF($Y99&lt;'Tabelas INSS e IR'!$H$5,0,IF($Y99&lt;'Tabelas INSS e IR'!$H$6,($Y99*'Tabelas INSS e IR'!$J$5)-'Tabelas INSS e IR'!$K$5,IF($Y99&lt;'Tabelas INSS e IR'!$H$7,($Y99*'Tabelas INSS e IR'!$J$6)-'Tabelas INSS e IR'!$K$6,IF($Y99&lt;'Tabelas INSS e IR'!$H$8,($Y99*'Tabelas INSS e IR'!$J$7)-'Tabelas INSS e IR'!$K$7,($Y99*'Tabelas INSS e IR'!$J$8)-'Tabelas INSS e IR'!$K$8))))</f>
        <v>144.42178000000007</v>
      </c>
      <c r="AA99" s="133">
        <f>IF($W99&lt;'Tabelas INSS e IR'!$H$5,0,IF($W99&lt;'Tabelas INSS e IR'!$H$6,($W99*'Tabelas INSS e IR'!$J$5)-'Tabelas INSS e IR'!$K$5,IF($W99&lt;'Tabelas INSS e IR'!$H$7,($W99*'Tabelas INSS e IR'!$J$6)-'Tabelas INSS e IR'!$K$6,IF($W99&lt;'Tabelas INSS e IR'!$H$8,($W99*'Tabelas INSS e IR'!$J$7)-'Tabelas INSS e IR'!$K$7,($W99*'Tabelas INSS e IR'!$J$8)-'Tabelas INSS e IR'!$K$8))))</f>
        <v>0</v>
      </c>
      <c r="AB99" s="294">
        <f t="shared" si="23"/>
        <v>144.42178000000007</v>
      </c>
      <c r="AC99" s="138"/>
      <c r="AD99" s="137"/>
      <c r="AE99" s="139"/>
      <c r="AF99" s="297">
        <f t="shared" si="24"/>
        <v>358.56298000000004</v>
      </c>
      <c r="AG99" s="297">
        <f t="shared" si="16"/>
        <v>1632.4370200000003</v>
      </c>
    </row>
    <row r="100" spans="1:33" s="468" customFormat="1" ht="15" customHeight="1" x14ac:dyDescent="0.25">
      <c r="A100" s="103">
        <v>89</v>
      </c>
      <c r="B100" s="403" t="s">
        <v>545</v>
      </c>
      <c r="C100" s="135"/>
      <c r="D100" s="104" t="s">
        <v>311</v>
      </c>
      <c r="E100" s="104" t="s">
        <v>422</v>
      </c>
      <c r="F100" s="104" t="s">
        <v>63</v>
      </c>
      <c r="G100" s="104" t="s">
        <v>64</v>
      </c>
      <c r="H100" s="136">
        <v>227042</v>
      </c>
      <c r="I100" s="148" t="s">
        <v>546</v>
      </c>
      <c r="J100" s="104" t="s">
        <v>203</v>
      </c>
      <c r="K100" s="104" t="s">
        <v>547</v>
      </c>
      <c r="L100" s="246">
        <v>2.2999999999999998</v>
      </c>
      <c r="M100" s="132">
        <f t="shared" si="26"/>
        <v>4163</v>
      </c>
      <c r="N100" s="393">
        <v>12289.92</v>
      </c>
      <c r="O100" s="133">
        <f t="shared" si="27"/>
        <v>4163</v>
      </c>
      <c r="P100" s="293">
        <f t="shared" si="19"/>
        <v>16452.919999999998</v>
      </c>
      <c r="Q100" s="133">
        <f>IF(OR($G100="EST",$G100="EFE"),0,IF($P100&gt;='Tabelas INSS e IR'!$B$8,'Tabelas INSS e IR'!$D$8,IF($P100&gt;='Tabelas INSS e IR'!$B$7,($P100*'Tabelas INSS e IR'!$D$7)-'Tabelas INSS e IR'!$E$7,IF($P100&gt;='Tabelas INSS e IR'!$B$6,($P100*'Tabelas INSS e IR'!$D$6)-'Tabelas INSS e IR'!$E$6,IF($P100&gt;='Tabelas INSS e IR'!$B$5,($P100*'Tabelas INSS e IR'!$D$5)-'Tabelas INSS e IR'!$E$5,$P100*'Tabelas INSS e IR'!$D$4)))))</f>
        <v>951.63740000000018</v>
      </c>
      <c r="R100" s="133">
        <f>IF(OR($G100="EST",$G100="EFE"),0,IF($N100&gt;='Tabelas INSS e IR'!$B$8,'Tabelas INSS e IR'!$D$8,IF($N100&gt;='Tabelas INSS e IR'!$B$7,($N100*'Tabelas INSS e IR'!$D$7)-'Tabelas INSS e IR'!$E$7,IF($N100&gt;='Tabelas INSS e IR'!$B$6,($N100*'Tabelas INSS e IR'!$D$6)-'Tabelas INSS e IR'!$E$6,IF($N100&gt;='Tabelas INSS e IR'!$B$5,($N100*'Tabelas INSS e IR'!$D$5)-'Tabelas INSS e IR'!$E$5,$N100*'Tabelas INSS e IR'!$D$4)))))</f>
        <v>951.63740000000018</v>
      </c>
      <c r="S100" s="132"/>
      <c r="T100" s="294">
        <f>(IF(OR($G100="EST",$G100="EFE"),0,IF((Q100+S100)&gt;'Tabelas INSS e IR'!$D$8,'Tabelas INSS e IR'!$D$8-(S100+R100),(Q100-R100))))</f>
        <v>0</v>
      </c>
      <c r="U100" s="478">
        <f t="shared" si="25"/>
        <v>11338.2826</v>
      </c>
      <c r="V100" s="306"/>
      <c r="W100" s="247">
        <f t="shared" si="20"/>
        <v>11338.2826</v>
      </c>
      <c r="X100" s="291">
        <f t="shared" si="21"/>
        <v>4163</v>
      </c>
      <c r="Y100" s="133">
        <f t="shared" si="22"/>
        <v>15501.2826</v>
      </c>
      <c r="Z100" s="133">
        <f>IF($Y100&lt;'Tabelas INSS e IR'!$H$5,0,IF($Y100&lt;'Tabelas INSS e IR'!$H$6,($Y100*'Tabelas INSS e IR'!$J$5)-'Tabelas INSS e IR'!$K$5,IF($Y100&lt;'Tabelas INSS e IR'!$H$7,($Y100*'Tabelas INSS e IR'!$J$6)-'Tabelas INSS e IR'!$K$6,IF($Y100&lt;'Tabelas INSS e IR'!$H$8,($Y100*'Tabelas INSS e IR'!$J$7)-'Tabelas INSS e IR'!$K$7,($Y100*'Tabelas INSS e IR'!$J$8)-'Tabelas INSS e IR'!$K$8))))</f>
        <v>3354.1227150000009</v>
      </c>
      <c r="AA100" s="133">
        <f>IF($W100&lt;'Tabelas INSS e IR'!$H$5,0,IF($W100&lt;'Tabelas INSS e IR'!$H$6,($W100*'Tabelas INSS e IR'!$J$5)-'Tabelas INSS e IR'!$K$5,IF($W100&lt;'Tabelas INSS e IR'!$H$7,($W100*'Tabelas INSS e IR'!$J$6)-'Tabelas INSS e IR'!$K$6,IF($W100&lt;'Tabelas INSS e IR'!$H$8,($W100*'Tabelas INSS e IR'!$J$7)-'Tabelas INSS e IR'!$K$7,($W100*'Tabelas INSS e IR'!$J$8)-'Tabelas INSS e IR'!$K$8))))</f>
        <v>2209.2977150000002</v>
      </c>
      <c r="AB100" s="294">
        <f t="shared" si="23"/>
        <v>1144.8250000000007</v>
      </c>
      <c r="AC100" s="138"/>
      <c r="AD100" s="137"/>
      <c r="AE100" s="139"/>
      <c r="AF100" s="297">
        <f t="shared" si="24"/>
        <v>1144.8250000000007</v>
      </c>
      <c r="AG100" s="297">
        <f t="shared" si="16"/>
        <v>3018.1749999999993</v>
      </c>
    </row>
    <row r="101" spans="1:33" s="468" customFormat="1" ht="15" customHeight="1" x14ac:dyDescent="0.25">
      <c r="A101" s="103">
        <v>92</v>
      </c>
      <c r="B101" s="403" t="s">
        <v>529</v>
      </c>
      <c r="C101" s="404">
        <v>44774</v>
      </c>
      <c r="D101" s="405" t="s">
        <v>424</v>
      </c>
      <c r="E101" s="405" t="s">
        <v>425</v>
      </c>
      <c r="F101" s="405" t="s">
        <v>63</v>
      </c>
      <c r="G101" s="405" t="s">
        <v>64</v>
      </c>
      <c r="H101" s="406">
        <v>745535429</v>
      </c>
      <c r="I101" s="406" t="s">
        <v>530</v>
      </c>
      <c r="J101" s="405" t="s">
        <v>531</v>
      </c>
      <c r="K101" s="405">
        <v>2019838</v>
      </c>
      <c r="L101" s="246">
        <v>1</v>
      </c>
      <c r="M101" s="132">
        <f t="shared" si="26"/>
        <v>1810</v>
      </c>
      <c r="N101" s="407">
        <v>1518</v>
      </c>
      <c r="O101" s="133">
        <f t="shared" si="27"/>
        <v>1810</v>
      </c>
      <c r="P101" s="293">
        <f t="shared" si="19"/>
        <v>3328</v>
      </c>
      <c r="Q101" s="133">
        <f>IF(OR($G101="EST",$G101="EFE"),0,IF($P101&gt;='Tabelas INSS e IR'!$B$8,'Tabelas INSS e IR'!$D$8,IF($P101&gt;='Tabelas INSS e IR'!$B$7,($P101*'Tabelas INSS e IR'!$D$7)-'Tabelas INSS e IR'!$E$7,IF($P101&gt;='Tabelas INSS e IR'!$B$6,($P101*'Tabelas INSS e IR'!$D$6)-'Tabelas INSS e IR'!$E$6,IF($P101&gt;='Tabelas INSS e IR'!$B$5,($P101*'Tabelas INSS e IR'!$D$5)-'Tabelas INSS e IR'!$E$5,$P101*'Tabelas INSS e IR'!$D$4)))))</f>
        <v>292.77</v>
      </c>
      <c r="R101" s="133">
        <f>IF(OR($G101="EST",$G101="EFE"),0,IF($N101&gt;='Tabelas INSS e IR'!$B$8,'Tabelas INSS e IR'!$D$8,IF($N101&gt;='Tabelas INSS e IR'!$B$7,($N101*'Tabelas INSS e IR'!$D$7)-'Tabelas INSS e IR'!$E$7,IF($N101&gt;='Tabelas INSS e IR'!$B$6,($N101*'Tabelas INSS e IR'!$D$6)-'Tabelas INSS e IR'!$E$6,IF($N101&gt;='Tabelas INSS e IR'!$B$5,($N101*'Tabelas INSS e IR'!$D$5)-'Tabelas INSS e IR'!$E$5,$N101*'Tabelas INSS e IR'!$D$4)))))</f>
        <v>113.84999999999998</v>
      </c>
      <c r="S101" s="132"/>
      <c r="T101" s="294">
        <f>(IF(OR($G101="EST",$G101="EFE"),0,IF((Q101+S101)&gt;'Tabelas INSS e IR'!$D$8,'Tabelas INSS e IR'!$D$8-(S101+R101),(Q101-R101))))</f>
        <v>178.92000000000002</v>
      </c>
      <c r="U101" s="392">
        <f t="shared" si="25"/>
        <v>1404.15</v>
      </c>
      <c r="V101" s="141"/>
      <c r="W101" s="247">
        <f t="shared" si="20"/>
        <v>1404.15</v>
      </c>
      <c r="X101" s="291">
        <f t="shared" si="21"/>
        <v>1631.08</v>
      </c>
      <c r="Y101" s="133">
        <f t="shared" si="22"/>
        <v>3035.23</v>
      </c>
      <c r="Z101" s="133">
        <f>IF($Y101&lt;'Tabelas INSS e IR'!$H$5,0,IF($Y101&lt;'Tabelas INSS e IR'!$H$6,($Y101*'Tabelas INSS e IR'!$J$5)-'Tabelas INSS e IR'!$K$5,IF($Y101&lt;'Tabelas INSS e IR'!$H$7,($Y101*'Tabelas INSS e IR'!$J$6)-'Tabelas INSS e IR'!$K$6,IF($Y101&lt;'Tabelas INSS e IR'!$H$8,($Y101*'Tabelas INSS e IR'!$J$7)-'Tabelas INSS e IR'!$K$7,($Y101*'Tabelas INSS e IR'!$J$8)-'Tabelas INSS e IR'!$K$8))))</f>
        <v>61.124499999999955</v>
      </c>
      <c r="AA101" s="133">
        <f>IF($W101&lt;'Tabelas INSS e IR'!$H$5,0,IF($W101&lt;'Tabelas INSS e IR'!$H$6,($W101*'Tabelas INSS e IR'!$J$5)-'Tabelas INSS e IR'!$K$5,IF($W101&lt;'Tabelas INSS e IR'!$H$7,($W101*'Tabelas INSS e IR'!$J$6)-'Tabelas INSS e IR'!$K$6,IF($W101&lt;'Tabelas INSS e IR'!$H$8,($W101*'Tabelas INSS e IR'!$J$7)-'Tabelas INSS e IR'!$K$7,($W101*'Tabelas INSS e IR'!$J$8)-'Tabelas INSS e IR'!$K$8))))</f>
        <v>0</v>
      </c>
      <c r="AB101" s="294">
        <f t="shared" si="23"/>
        <v>61.124499999999955</v>
      </c>
      <c r="AC101" s="138"/>
      <c r="AD101" s="137"/>
      <c r="AE101" s="139"/>
      <c r="AF101" s="297">
        <f t="shared" si="24"/>
        <v>240.04449999999997</v>
      </c>
      <c r="AG101" s="297">
        <f t="shared" si="16"/>
        <v>1569.9555</v>
      </c>
    </row>
    <row r="102" spans="1:33" s="468" customFormat="1" ht="15" customHeight="1" x14ac:dyDescent="0.25">
      <c r="A102" s="103">
        <v>93</v>
      </c>
      <c r="B102" s="522" t="s">
        <v>426</v>
      </c>
      <c r="C102" s="135">
        <v>43282</v>
      </c>
      <c r="D102" s="104" t="s">
        <v>148</v>
      </c>
      <c r="E102" s="104" t="s">
        <v>427</v>
      </c>
      <c r="F102" s="104" t="s">
        <v>63</v>
      </c>
      <c r="G102" s="104" t="s">
        <v>64</v>
      </c>
      <c r="H102" s="136" t="s">
        <v>428</v>
      </c>
      <c r="I102" s="136" t="s">
        <v>429</v>
      </c>
      <c r="J102" s="104" t="s">
        <v>423</v>
      </c>
      <c r="K102" s="104" t="s">
        <v>430</v>
      </c>
      <c r="L102" s="246">
        <v>0.75</v>
      </c>
      <c r="M102" s="132">
        <f t="shared" si="26"/>
        <v>1357.5</v>
      </c>
      <c r="N102" s="141"/>
      <c r="O102" s="133">
        <f t="shared" si="27"/>
        <v>1357.5</v>
      </c>
      <c r="P102" s="293">
        <f t="shared" si="19"/>
        <v>1357.5</v>
      </c>
      <c r="Q102" s="133">
        <f>IF(OR($G102="EST",$G102="EFE"),0,IF($P102&gt;='Tabelas INSS e IR'!$B$8,'Tabelas INSS e IR'!$D$8,IF($P102&gt;='Tabelas INSS e IR'!$B$7,($P102*'Tabelas INSS e IR'!$D$7)-'Tabelas INSS e IR'!$E$7,IF($P102&gt;='Tabelas INSS e IR'!$B$6,($P102*'Tabelas INSS e IR'!$D$6)-'Tabelas INSS e IR'!$E$6,IF($P102&gt;='Tabelas INSS e IR'!$B$5,($P102*'Tabelas INSS e IR'!$D$5)-'Tabelas INSS e IR'!$E$5,$P102*'Tabelas INSS e IR'!$D$4)))))</f>
        <v>101.81249999999997</v>
      </c>
      <c r="R102" s="133">
        <f>IF(OR($G102="EST",$G102="EFE"),0,IF($N102&gt;='Tabelas INSS e IR'!$B$8,'Tabelas INSS e IR'!$D$8,IF($N102&gt;='Tabelas INSS e IR'!$B$7,($N102*'Tabelas INSS e IR'!$D$7)-'Tabelas INSS e IR'!$E$7,IF($N102&gt;='Tabelas INSS e IR'!$B$6,($N102*'Tabelas INSS e IR'!$D$6)-'Tabelas INSS e IR'!$E$6,IF($N102&gt;='Tabelas INSS e IR'!$B$5,($N102*'Tabelas INSS e IR'!$D$5)-'Tabelas INSS e IR'!$E$5,$N102*'Tabelas INSS e IR'!$D$4)))))</f>
        <v>0</v>
      </c>
      <c r="S102" s="132"/>
      <c r="T102" s="294">
        <f>(IF(OR($G102="EST",$G102="EFE"),0,IF((Q102+S102)&gt;'Tabelas INSS e IR'!$D$8,'Tabelas INSS e IR'!$D$8-(S102+R102),(Q102-R102))))</f>
        <v>101.81249999999997</v>
      </c>
      <c r="U102" s="392">
        <f t="shared" si="25"/>
        <v>0</v>
      </c>
      <c r="V102" s="141"/>
      <c r="W102" s="247">
        <f t="shared" si="20"/>
        <v>0</v>
      </c>
      <c r="X102" s="291">
        <f t="shared" si="21"/>
        <v>1255.6875</v>
      </c>
      <c r="Y102" s="133">
        <f t="shared" si="22"/>
        <v>1255.6875</v>
      </c>
      <c r="Z102" s="133">
        <f>IF($Y102&lt;'Tabelas INSS e IR'!$H$5,0,IF($Y102&lt;'Tabelas INSS e IR'!$H$6,($Y102*'Tabelas INSS e IR'!$J$5)-'Tabelas INSS e IR'!$K$5,IF($Y102&lt;'Tabelas INSS e IR'!$H$7,($Y102*'Tabelas INSS e IR'!$J$6)-'Tabelas INSS e IR'!$K$6,IF($Y102&lt;'Tabelas INSS e IR'!$H$8,($Y102*'Tabelas INSS e IR'!$J$7)-'Tabelas INSS e IR'!$K$7,($Y102*'Tabelas INSS e IR'!$J$8)-'Tabelas INSS e IR'!$K$8))))</f>
        <v>0</v>
      </c>
      <c r="AA102" s="133">
        <f>IF($W102&lt;'Tabelas INSS e IR'!$H$5,0,IF($W102&lt;'Tabelas INSS e IR'!$H$6,($W102*'Tabelas INSS e IR'!$J$5)-'Tabelas INSS e IR'!$K$5,IF($W102&lt;'Tabelas INSS e IR'!$H$7,($W102*'Tabelas INSS e IR'!$J$6)-'Tabelas INSS e IR'!$K$6,IF($W102&lt;'Tabelas INSS e IR'!$H$8,($W102*'Tabelas INSS e IR'!$J$7)-'Tabelas INSS e IR'!$K$7,($W102*'Tabelas INSS e IR'!$J$8)-'Tabelas INSS e IR'!$K$8))))</f>
        <v>0</v>
      </c>
      <c r="AB102" s="294">
        <f t="shared" si="23"/>
        <v>0</v>
      </c>
      <c r="AC102" s="138"/>
      <c r="AD102" s="137"/>
      <c r="AE102" s="139"/>
      <c r="AF102" s="297">
        <f t="shared" si="24"/>
        <v>101.81249999999997</v>
      </c>
      <c r="AG102" s="297">
        <f t="shared" si="16"/>
        <v>1255.6875</v>
      </c>
    </row>
    <row r="103" spans="1:33" s="468" customFormat="1" ht="15" customHeight="1" x14ac:dyDescent="0.25">
      <c r="A103" s="103">
        <v>95</v>
      </c>
      <c r="B103" s="521" t="s">
        <v>431</v>
      </c>
      <c r="C103" s="135">
        <v>43262</v>
      </c>
      <c r="D103" s="104" t="s">
        <v>432</v>
      </c>
      <c r="E103" s="104" t="s">
        <v>101</v>
      </c>
      <c r="F103" s="156" t="s">
        <v>63</v>
      </c>
      <c r="G103" s="111" t="s">
        <v>64</v>
      </c>
      <c r="H103" s="149" t="s">
        <v>433</v>
      </c>
      <c r="I103" s="150" t="s">
        <v>434</v>
      </c>
      <c r="J103" s="111" t="s">
        <v>110</v>
      </c>
      <c r="K103" s="111" t="s">
        <v>435</v>
      </c>
      <c r="L103" s="246">
        <v>1.1499999999999999</v>
      </c>
      <c r="M103" s="132">
        <f t="shared" si="26"/>
        <v>2081.5</v>
      </c>
      <c r="N103" s="393">
        <v>1518</v>
      </c>
      <c r="O103" s="133">
        <f t="shared" si="27"/>
        <v>2081.5</v>
      </c>
      <c r="P103" s="293">
        <f t="shared" si="19"/>
        <v>3599.5</v>
      </c>
      <c r="Q103" s="133">
        <f>IF(OR($G103="EST",$G103="EFE"),0,IF($P103&gt;='Tabelas INSS e IR'!$B$8,'Tabelas INSS e IR'!$D$8,IF($P103&gt;='Tabelas INSS e IR'!$B$7,($P103*'Tabelas INSS e IR'!$D$7)-'Tabelas INSS e IR'!$E$7,IF($P103&gt;='Tabelas INSS e IR'!$B$6,($P103*'Tabelas INSS e IR'!$D$6)-'Tabelas INSS e IR'!$E$6,IF($P103&gt;='Tabelas INSS e IR'!$B$5,($P103*'Tabelas INSS e IR'!$D$5)-'Tabelas INSS e IR'!$E$5,$P103*'Tabelas INSS e IR'!$D$4)))))</f>
        <v>325.35000000000002</v>
      </c>
      <c r="R103" s="133">
        <f>IF(OR($G103="EST",$G103="EFE"),0,IF($N103&gt;='Tabelas INSS e IR'!$B$8,'Tabelas INSS e IR'!$D$8,IF($N103&gt;='Tabelas INSS e IR'!$B$7,($N103*'Tabelas INSS e IR'!$D$7)-'Tabelas INSS e IR'!$E$7,IF($N103&gt;='Tabelas INSS e IR'!$B$6,($N103*'Tabelas INSS e IR'!$D$6)-'Tabelas INSS e IR'!$E$6,IF($N103&gt;='Tabelas INSS e IR'!$B$5,($N103*'Tabelas INSS e IR'!$D$5)-'Tabelas INSS e IR'!$E$5,$N103*'Tabelas INSS e IR'!$D$4)))))</f>
        <v>113.84999999999998</v>
      </c>
      <c r="S103" s="132"/>
      <c r="T103" s="294">
        <f>(IF(OR($G103="EST",$G103="EFE"),0,IF((Q103+S103)&gt;'Tabelas INSS e IR'!$D$8,'Tabelas INSS e IR'!$D$8-(S103+R103),(Q103-R103))))</f>
        <v>211.50000000000006</v>
      </c>
      <c r="U103" s="392">
        <f>N103-R103</f>
        <v>1404.15</v>
      </c>
      <c r="V103" s="172"/>
      <c r="W103" s="247">
        <f t="shared" si="20"/>
        <v>1404.15</v>
      </c>
      <c r="X103" s="291">
        <f t="shared" si="21"/>
        <v>1870</v>
      </c>
      <c r="Y103" s="133">
        <f t="shared" si="22"/>
        <v>3274.15</v>
      </c>
      <c r="Z103" s="133">
        <f>IF($Y103&lt;'Tabelas INSS e IR'!$H$5,0,IF($Y103&lt;'Tabelas INSS e IR'!$H$6,($Y103*'Tabelas INSS e IR'!$J$5)-'Tabelas INSS e IR'!$K$5,IF($Y103&lt;'Tabelas INSS e IR'!$H$7,($Y103*'Tabelas INSS e IR'!$J$6)-'Tabelas INSS e IR'!$K$6,IF($Y103&lt;'Tabelas INSS e IR'!$H$8,($Y103*'Tabelas INSS e IR'!$J$7)-'Tabelas INSS e IR'!$K$7,($Y103*'Tabelas INSS e IR'!$J$8)-'Tabelas INSS e IR'!$K$8))))</f>
        <v>96.962499999999977</v>
      </c>
      <c r="AA103" s="133">
        <f>IF($W103&lt;'Tabelas INSS e IR'!$H$5,0,IF($W103&lt;'Tabelas INSS e IR'!$H$6,($W103*'Tabelas INSS e IR'!$J$5)-'Tabelas INSS e IR'!$K$5,IF($W103&lt;'Tabelas INSS e IR'!$H$7,($W103*'Tabelas INSS e IR'!$J$6)-'Tabelas INSS e IR'!$K$6,IF($W103&lt;'Tabelas INSS e IR'!$H$8,($W103*'Tabelas INSS e IR'!$J$7)-'Tabelas INSS e IR'!$K$7,($W103*'Tabelas INSS e IR'!$J$8)-'Tabelas INSS e IR'!$K$8))))</f>
        <v>0</v>
      </c>
      <c r="AB103" s="294">
        <f t="shared" si="23"/>
        <v>96.962499999999977</v>
      </c>
      <c r="AC103" s="138"/>
      <c r="AD103" s="137"/>
      <c r="AE103" s="139"/>
      <c r="AF103" s="297">
        <f t="shared" si="24"/>
        <v>308.46250000000003</v>
      </c>
      <c r="AG103" s="297">
        <f t="shared" si="16"/>
        <v>1773.0374999999999</v>
      </c>
    </row>
    <row r="104" spans="1:33" s="468" customFormat="1" ht="15" customHeight="1" x14ac:dyDescent="0.25">
      <c r="A104" s="103">
        <v>96</v>
      </c>
      <c r="B104" s="548" t="s">
        <v>436</v>
      </c>
      <c r="C104" s="511">
        <v>43263</v>
      </c>
      <c r="D104" s="512" t="s">
        <v>437</v>
      </c>
      <c r="E104" s="549" t="s">
        <v>438</v>
      </c>
      <c r="F104" s="549" t="s">
        <v>63</v>
      </c>
      <c r="G104" s="512" t="s">
        <v>64</v>
      </c>
      <c r="H104" s="550" t="s">
        <v>439</v>
      </c>
      <c r="I104" s="550" t="s">
        <v>440</v>
      </c>
      <c r="J104" s="512" t="s">
        <v>157</v>
      </c>
      <c r="K104" s="512" t="s">
        <v>441</v>
      </c>
      <c r="L104" s="551">
        <v>1.45</v>
      </c>
      <c r="M104" s="552">
        <f>(( $I$10*L104%)/2)</f>
        <v>1312.25</v>
      </c>
      <c r="N104" s="393"/>
      <c r="O104" s="563">
        <f>(($I$10*L104%)/2)</f>
        <v>1312.25</v>
      </c>
      <c r="P104" s="293">
        <f t="shared" si="19"/>
        <v>1312.25</v>
      </c>
      <c r="Q104" s="133">
        <f>IF(OR($G104="EST",$G104="EFE"),0,IF($P104&gt;='Tabelas INSS e IR'!$B$8,'Tabelas INSS e IR'!$D$8,IF($P104&gt;='Tabelas INSS e IR'!$B$7,($P104*'Tabelas INSS e IR'!$D$7)-'Tabelas INSS e IR'!$E$7,IF($P104&gt;='Tabelas INSS e IR'!$B$6,($P104*'Tabelas INSS e IR'!$D$6)-'Tabelas INSS e IR'!$E$6,IF($P104&gt;='Tabelas INSS e IR'!$B$5,($P104*'Tabelas INSS e IR'!$D$5)-'Tabelas INSS e IR'!$E$5,$P104*'Tabelas INSS e IR'!$D$4)))))</f>
        <v>98.418749999999974</v>
      </c>
      <c r="R104" s="133">
        <f>IF(OR($G104="EST",$G104="EFE"),0,IF($N104&gt;='Tabelas INSS e IR'!$B$8,'Tabelas INSS e IR'!$D$8,IF($N104&gt;='Tabelas INSS e IR'!$B$7,($N104*'Tabelas INSS e IR'!$D$7)-'Tabelas INSS e IR'!$E$7,IF($N104&gt;='Tabelas INSS e IR'!$B$6,($N104*'Tabelas INSS e IR'!$D$6)-'Tabelas INSS e IR'!$E$6,IF($N104&gt;='Tabelas INSS e IR'!$B$5,($N104*'Tabelas INSS e IR'!$D$5)-'Tabelas INSS e IR'!$E$5,$N104*'Tabelas INSS e IR'!$D$4)))))</f>
        <v>0</v>
      </c>
      <c r="S104" s="132"/>
      <c r="T104" s="294">
        <f>(IF(OR($G104="EST",$G104="EFE"),0,IF((Q104+S104)&gt;'Tabelas INSS e IR'!$D$8,'Tabelas INSS e IR'!$D$8-(S104+R104),(Q104-R104))))</f>
        <v>98.418749999999974</v>
      </c>
      <c r="U104" s="392">
        <f t="shared" si="25"/>
        <v>0</v>
      </c>
      <c r="V104" s="143"/>
      <c r="W104" s="247">
        <f t="shared" si="20"/>
        <v>0</v>
      </c>
      <c r="X104" s="291">
        <f t="shared" si="21"/>
        <v>1213.83125</v>
      </c>
      <c r="Y104" s="133">
        <f t="shared" si="22"/>
        <v>1213.83125</v>
      </c>
      <c r="Z104" s="133">
        <f>IF($Y104&lt;'Tabelas INSS e IR'!$H$5,0,IF($Y104&lt;'Tabelas INSS e IR'!$H$6,($Y104*'Tabelas INSS e IR'!$J$5)-'Tabelas INSS e IR'!$K$5,IF($Y104&lt;'Tabelas INSS e IR'!$H$7,($Y104*'Tabelas INSS e IR'!$J$6)-'Tabelas INSS e IR'!$K$6,IF($Y104&lt;'Tabelas INSS e IR'!$H$8,($Y104*'Tabelas INSS e IR'!$J$7)-'Tabelas INSS e IR'!$K$7,($Y104*'Tabelas INSS e IR'!$J$8)-'Tabelas INSS e IR'!$K$8))))</f>
        <v>0</v>
      </c>
      <c r="AA104" s="133">
        <f>IF($W104&lt;'Tabelas INSS e IR'!$H$5,0,IF($W104&lt;'Tabelas INSS e IR'!$H$6,($W104*'Tabelas INSS e IR'!$J$5)-'Tabelas INSS e IR'!$K$5,IF($W104&lt;'Tabelas INSS e IR'!$H$7,($W104*'Tabelas INSS e IR'!$J$6)-'Tabelas INSS e IR'!$K$6,IF($W104&lt;'Tabelas INSS e IR'!$H$8,($W104*'Tabelas INSS e IR'!$J$7)-'Tabelas INSS e IR'!$K$7,($W104*'Tabelas INSS e IR'!$J$8)-'Tabelas INSS e IR'!$K$8))))</f>
        <v>0</v>
      </c>
      <c r="AB104" s="294">
        <f t="shared" si="23"/>
        <v>0</v>
      </c>
      <c r="AC104" s="138"/>
      <c r="AD104" s="137"/>
      <c r="AE104" s="139"/>
      <c r="AF104" s="297">
        <f t="shared" si="24"/>
        <v>98.418749999999974</v>
      </c>
      <c r="AG104" s="297">
        <f t="shared" si="16"/>
        <v>1213.83125</v>
      </c>
    </row>
    <row r="105" spans="1:33" s="468" customFormat="1" ht="15" customHeight="1" x14ac:dyDescent="0.25">
      <c r="A105" s="103">
        <v>97</v>
      </c>
      <c r="B105" s="403" t="s">
        <v>548</v>
      </c>
      <c r="C105" s="135"/>
      <c r="D105" s="104" t="s">
        <v>424</v>
      </c>
      <c r="E105" s="104" t="s">
        <v>134</v>
      </c>
      <c r="F105" s="104" t="s">
        <v>63</v>
      </c>
      <c r="G105" s="104" t="s">
        <v>64</v>
      </c>
      <c r="H105" s="136" t="s">
        <v>550</v>
      </c>
      <c r="I105" s="148" t="s">
        <v>549</v>
      </c>
      <c r="J105" s="104" t="s">
        <v>84</v>
      </c>
      <c r="K105" s="104" t="s">
        <v>551</v>
      </c>
      <c r="L105" s="312">
        <v>0.65</v>
      </c>
      <c r="M105" s="132">
        <f t="shared" si="26"/>
        <v>1176.5</v>
      </c>
      <c r="N105" s="393">
        <v>1518</v>
      </c>
      <c r="O105" s="133">
        <f t="shared" si="27"/>
        <v>1176.5</v>
      </c>
      <c r="P105" s="293">
        <f t="shared" si="19"/>
        <v>2694.5</v>
      </c>
      <c r="Q105" s="133">
        <f>IF(OR($G105="EST",$G105="EFE"),0,IF($P105&gt;='Tabelas INSS e IR'!$B$8,'Tabelas INSS e IR'!$D$8,IF($P105&gt;='Tabelas INSS e IR'!$B$7,($P105*'Tabelas INSS e IR'!$D$7)-'Tabelas INSS e IR'!$E$7,IF($P105&gt;='Tabelas INSS e IR'!$B$6,($P105*'Tabelas INSS e IR'!$D$6)-'Tabelas INSS e IR'!$E$6,IF($P105&gt;='Tabelas INSS e IR'!$B$5,($P105*'Tabelas INSS e IR'!$D$5)-'Tabelas INSS e IR'!$E$5,$P105*'Tabelas INSS e IR'!$D$4)))))</f>
        <v>219.73499999999999</v>
      </c>
      <c r="R105" s="133">
        <f>IF(OR($G105="EST",$G105="EFE"),0,IF($N105&gt;='Tabelas INSS e IR'!$B$8,'Tabelas INSS e IR'!$D$8,IF($N105&gt;='Tabelas INSS e IR'!$B$7,($N105*'Tabelas INSS e IR'!$D$7)-'Tabelas INSS e IR'!$E$7,IF($N105&gt;='Tabelas INSS e IR'!$B$6,($N105*'Tabelas INSS e IR'!$D$6)-'Tabelas INSS e IR'!$E$6,IF($N105&gt;='Tabelas INSS e IR'!$B$5,($N105*'Tabelas INSS e IR'!$D$5)-'Tabelas INSS e IR'!$E$5,$N105*'Tabelas INSS e IR'!$D$4)))))</f>
        <v>113.84999999999998</v>
      </c>
      <c r="S105" s="132"/>
      <c r="T105" s="294">
        <f>(IF(OR($G105="EST",$G105="EFE"),0,IF((Q105+S105)&gt;'Tabelas INSS e IR'!$D$8,'Tabelas INSS e IR'!$D$8-(S105+R105),(Q105-R105))))</f>
        <v>105.88500000000001</v>
      </c>
      <c r="U105" s="392">
        <f t="shared" si="25"/>
        <v>1404.15</v>
      </c>
      <c r="V105" s="143"/>
      <c r="W105" s="247">
        <f t="shared" si="20"/>
        <v>1404.15</v>
      </c>
      <c r="X105" s="291">
        <f t="shared" si="21"/>
        <v>1070.615</v>
      </c>
      <c r="Y105" s="133">
        <f t="shared" si="22"/>
        <v>2474.7650000000003</v>
      </c>
      <c r="Z105" s="133">
        <f>IF($Y105&lt;'Tabelas INSS e IR'!$H$5,0,IF($Y105&lt;'Tabelas INSS e IR'!$H$6,($Y105*'Tabelas INSS e IR'!$J$5)-'Tabelas INSS e IR'!$K$5,IF($Y105&lt;'Tabelas INSS e IR'!$H$7,($Y105*'Tabelas INSS e IR'!$J$6)-'Tabelas INSS e IR'!$K$6,IF($Y105&lt;'Tabelas INSS e IR'!$H$8,($Y105*'Tabelas INSS e IR'!$J$7)-'Tabelas INSS e IR'!$K$7,($Y105*'Tabelas INSS e IR'!$J$8)-'Tabelas INSS e IR'!$K$8))))</f>
        <v>3.4473749999999939</v>
      </c>
      <c r="AA105" s="133">
        <f>IF($W105&lt;'Tabelas INSS e IR'!$H$5,0,IF($W105&lt;'Tabelas INSS e IR'!$H$6,($W105*'Tabelas INSS e IR'!$J$5)-'Tabelas INSS e IR'!$K$5,IF($W105&lt;'Tabelas INSS e IR'!$H$7,($W105*'Tabelas INSS e IR'!$J$6)-'Tabelas INSS e IR'!$K$6,IF($W105&lt;'Tabelas INSS e IR'!$H$8,($W105*'Tabelas INSS e IR'!$J$7)-'Tabelas INSS e IR'!$K$7,($W105*'Tabelas INSS e IR'!$J$8)-'Tabelas INSS e IR'!$K$8))))</f>
        <v>0</v>
      </c>
      <c r="AB105" s="294">
        <f t="shared" si="23"/>
        <v>3.4473749999999939</v>
      </c>
      <c r="AC105" s="138"/>
      <c r="AD105" s="137"/>
      <c r="AE105" s="139"/>
      <c r="AF105" s="297">
        <f t="shared" si="24"/>
        <v>109.332375</v>
      </c>
      <c r="AG105" s="297">
        <f t="shared" si="16"/>
        <v>1067.167625</v>
      </c>
    </row>
    <row r="106" spans="1:33" s="468" customFormat="1" ht="15" customHeight="1" x14ac:dyDescent="0.25">
      <c r="A106" s="104">
        <v>98</v>
      </c>
      <c r="B106" s="403" t="s">
        <v>442</v>
      </c>
      <c r="C106" s="135">
        <v>43070</v>
      </c>
      <c r="D106" s="104" t="s">
        <v>127</v>
      </c>
      <c r="E106" s="104" t="s">
        <v>443</v>
      </c>
      <c r="F106" s="104" t="s">
        <v>63</v>
      </c>
      <c r="G106" s="104" t="s">
        <v>64</v>
      </c>
      <c r="H106" s="136">
        <v>34052755</v>
      </c>
      <c r="I106" s="148" t="s">
        <v>444</v>
      </c>
      <c r="J106" s="104" t="s">
        <v>84</v>
      </c>
      <c r="K106" s="104" t="s">
        <v>445</v>
      </c>
      <c r="L106" s="246">
        <v>0.8</v>
      </c>
      <c r="M106" s="132">
        <f t="shared" si="26"/>
        <v>1448</v>
      </c>
      <c r="N106" s="393">
        <v>1518</v>
      </c>
      <c r="O106" s="133">
        <f t="shared" si="27"/>
        <v>1448</v>
      </c>
      <c r="P106" s="293">
        <f t="shared" si="19"/>
        <v>2966</v>
      </c>
      <c r="Q106" s="133">
        <f>IF(OR($G106="EST",$G106="EFE"),0,IF($P106&gt;='Tabelas INSS e IR'!$B$8,'Tabelas INSS e IR'!$D$8,IF($P106&gt;='Tabelas INSS e IR'!$B$7,($P106*'Tabelas INSS e IR'!$D$7)-'Tabelas INSS e IR'!$E$7,IF($P106&gt;='Tabelas INSS e IR'!$B$6,($P106*'Tabelas INSS e IR'!$D$6)-'Tabelas INSS e IR'!$E$6,IF($P106&gt;='Tabelas INSS e IR'!$B$5,($P106*'Tabelas INSS e IR'!$D$5)-'Tabelas INSS e IR'!$E$5,$P106*'Tabelas INSS e IR'!$D$4)))))</f>
        <v>249.32999999999996</v>
      </c>
      <c r="R106" s="133">
        <f>IF(OR($G106="EST",$G106="EFE"),0,IF($N106&gt;='Tabelas INSS e IR'!$B$8,'Tabelas INSS e IR'!$D$8,IF($N106&gt;='Tabelas INSS e IR'!$B$7,($N106*'Tabelas INSS e IR'!$D$7)-'Tabelas INSS e IR'!$E$7,IF($N106&gt;='Tabelas INSS e IR'!$B$6,($N106*'Tabelas INSS e IR'!$D$6)-'Tabelas INSS e IR'!$E$6,IF($N106&gt;='Tabelas INSS e IR'!$B$5,($N106*'Tabelas INSS e IR'!$D$5)-'Tabelas INSS e IR'!$E$5,$N106*'Tabelas INSS e IR'!$D$4)))))</f>
        <v>113.84999999999998</v>
      </c>
      <c r="S106" s="132"/>
      <c r="T106" s="294">
        <f>(IF(OR($G106="EST",$G106="EFE"),0,IF((Q106+S106)&gt;'Tabelas INSS e IR'!$D$8,'Tabelas INSS e IR'!$D$8-(S106+R106),(Q106-R106))))</f>
        <v>135.47999999999996</v>
      </c>
      <c r="U106" s="392">
        <v>1490.81</v>
      </c>
      <c r="V106" s="143"/>
      <c r="W106" s="247">
        <f t="shared" si="20"/>
        <v>1490.81</v>
      </c>
      <c r="X106" s="291">
        <f t="shared" si="21"/>
        <v>1312.52</v>
      </c>
      <c r="Y106" s="133">
        <f t="shared" si="22"/>
        <v>2803.33</v>
      </c>
      <c r="Z106" s="133">
        <f>IF($Y106&lt;'Tabelas INSS e IR'!$H$5,0,IF($Y106&lt;'Tabelas INSS e IR'!$H$6,($Y106*'Tabelas INSS e IR'!$J$5)-'Tabelas INSS e IR'!$K$5,IF($Y106&lt;'Tabelas INSS e IR'!$H$7,($Y106*'Tabelas INSS e IR'!$J$6)-'Tabelas INSS e IR'!$K$6,IF($Y106&lt;'Tabelas INSS e IR'!$H$8,($Y106*'Tabelas INSS e IR'!$J$7)-'Tabelas INSS e IR'!$K$7,($Y106*'Tabelas INSS e IR'!$J$8)-'Tabelas INSS e IR'!$K$8))))</f>
        <v>28.089749999999952</v>
      </c>
      <c r="AA106" s="133">
        <f>IF($W106&lt;'Tabelas INSS e IR'!$H$5,0,IF($W106&lt;'Tabelas INSS e IR'!$H$6,($W106*'Tabelas INSS e IR'!$J$5)-'Tabelas INSS e IR'!$K$5,IF($W106&lt;'Tabelas INSS e IR'!$H$7,($W106*'Tabelas INSS e IR'!$J$6)-'Tabelas INSS e IR'!$K$6,IF($W106&lt;'Tabelas INSS e IR'!$H$8,($W106*'Tabelas INSS e IR'!$J$7)-'Tabelas INSS e IR'!$K$7,($W106*'Tabelas INSS e IR'!$J$8)-'Tabelas INSS e IR'!$K$8))))</f>
        <v>0</v>
      </c>
      <c r="AB106" s="294">
        <f t="shared" si="23"/>
        <v>28.089749999999952</v>
      </c>
      <c r="AC106" s="138"/>
      <c r="AD106" s="137"/>
      <c r="AE106" s="139"/>
      <c r="AF106" s="297">
        <f t="shared" si="24"/>
        <v>163.56974999999991</v>
      </c>
      <c r="AG106" s="297">
        <f t="shared" si="16"/>
        <v>1284.4302500000001</v>
      </c>
    </row>
    <row r="107" spans="1:33" s="468" customFormat="1" ht="15" customHeight="1" x14ac:dyDescent="0.25">
      <c r="A107" s="103">
        <v>99</v>
      </c>
      <c r="B107" s="529" t="s">
        <v>446</v>
      </c>
      <c r="C107" s="412">
        <v>43282</v>
      </c>
      <c r="D107" s="413" t="s">
        <v>424</v>
      </c>
      <c r="E107" s="413" t="s">
        <v>447</v>
      </c>
      <c r="F107" s="104" t="s">
        <v>63</v>
      </c>
      <c r="G107" s="104" t="s">
        <v>64</v>
      </c>
      <c r="H107" s="136" t="s">
        <v>448</v>
      </c>
      <c r="I107" s="148" t="s">
        <v>449</v>
      </c>
      <c r="J107" s="104" t="s">
        <v>84</v>
      </c>
      <c r="K107" s="104" t="s">
        <v>450</v>
      </c>
      <c r="L107" s="246">
        <v>1.1000000000000001</v>
      </c>
      <c r="M107" s="132">
        <f t="shared" si="26"/>
        <v>1991.0000000000002</v>
      </c>
      <c r="N107" s="393">
        <v>2024</v>
      </c>
      <c r="O107" s="133">
        <f t="shared" si="27"/>
        <v>1991.0000000000002</v>
      </c>
      <c r="P107" s="293">
        <f t="shared" si="19"/>
        <v>4015</v>
      </c>
      <c r="Q107" s="133">
        <f>IF(OR($G107="EST",$G107="EFE"),0,IF($P107&gt;='Tabelas INSS e IR'!$B$8,'Tabelas INSS e IR'!$D$8,IF($P107&gt;='Tabelas INSS e IR'!$B$7,($P107*'Tabelas INSS e IR'!$D$7)-'Tabelas INSS e IR'!$E$7,IF($P107&gt;='Tabelas INSS e IR'!$B$6,($P107*'Tabelas INSS e IR'!$D$6)-'Tabelas INSS e IR'!$E$6,IF($P107&gt;='Tabelas INSS e IR'!$B$5,($P107*'Tabelas INSS e IR'!$D$5)-'Tabelas INSS e IR'!$E$5,$P107*'Tabelas INSS e IR'!$D$4)))))</f>
        <v>375.20999999999992</v>
      </c>
      <c r="R107" s="133">
        <f>IF(OR($G107="EST",$G107="EFE"),0,IF($N107&gt;='Tabelas INSS e IR'!$B$8,'Tabelas INSS e IR'!$D$8,IF($N107&gt;='Tabelas INSS e IR'!$B$7,($N107*'Tabelas INSS e IR'!$D$7)-'Tabelas INSS e IR'!$E$7,IF($N107&gt;='Tabelas INSS e IR'!$B$6,($N107*'Tabelas INSS e IR'!$D$6)-'Tabelas INSS e IR'!$E$6,IF($N107&gt;='Tabelas INSS e IR'!$B$5,($N107*'Tabelas INSS e IR'!$D$5)-'Tabelas INSS e IR'!$E$5,$N107*'Tabelas INSS e IR'!$D$4)))))</f>
        <v>159.38999999999999</v>
      </c>
      <c r="S107" s="132"/>
      <c r="T107" s="294">
        <f>(IF(OR($G107="EST",$G107="EFE"),0,IF((Q107+S107)&gt;'Tabelas INSS e IR'!$D$8,'Tabelas INSS e IR'!$D$8-(S107+R107),(Q107-R107))))</f>
        <v>215.81999999999994</v>
      </c>
      <c r="U107" s="392">
        <f t="shared" si="25"/>
        <v>1864.6100000000001</v>
      </c>
      <c r="V107" s="143"/>
      <c r="W107" s="247">
        <f t="shared" si="20"/>
        <v>1864.6100000000001</v>
      </c>
      <c r="X107" s="291">
        <f t="shared" si="21"/>
        <v>1775.1800000000003</v>
      </c>
      <c r="Y107" s="133">
        <f t="shared" si="22"/>
        <v>3639.7900000000004</v>
      </c>
      <c r="Z107" s="133">
        <f>IF($Y107&lt;'Tabelas INSS e IR'!$H$5,0,IF($Y107&lt;'Tabelas INSS e IR'!$H$6,($Y107*'Tabelas INSS e IR'!$J$5)-'Tabelas INSS e IR'!$K$5,IF($Y107&lt;'Tabelas INSS e IR'!$H$7,($Y107*'Tabelas INSS e IR'!$J$6)-'Tabelas INSS e IR'!$K$6,IF($Y107&lt;'Tabelas INSS e IR'!$H$8,($Y107*'Tabelas INSS e IR'!$J$7)-'Tabelas INSS e IR'!$K$7,($Y107*'Tabelas INSS e IR'!$J$8)-'Tabelas INSS e IR'!$K$8))))</f>
        <v>151.80850000000004</v>
      </c>
      <c r="AA107" s="133">
        <f>IF($W107&lt;'Tabelas INSS e IR'!$H$5,0,IF($W107&lt;'Tabelas INSS e IR'!$H$6,($W107*'Tabelas INSS e IR'!$J$5)-'Tabelas INSS e IR'!$K$5,IF($W107&lt;'Tabelas INSS e IR'!$H$7,($W107*'Tabelas INSS e IR'!$J$6)-'Tabelas INSS e IR'!$K$6,IF($W107&lt;'Tabelas INSS e IR'!$H$8,($W107*'Tabelas INSS e IR'!$J$7)-'Tabelas INSS e IR'!$K$7,($W107*'Tabelas INSS e IR'!$J$8)-'Tabelas INSS e IR'!$K$8))))</f>
        <v>0</v>
      </c>
      <c r="AB107" s="294">
        <f t="shared" si="23"/>
        <v>151.80850000000004</v>
      </c>
      <c r="AC107" s="138"/>
      <c r="AD107" s="137"/>
      <c r="AE107" s="139"/>
      <c r="AF107" s="297">
        <f t="shared" si="24"/>
        <v>367.62849999999997</v>
      </c>
      <c r="AG107" s="297">
        <f t="shared" si="16"/>
        <v>1623.3715000000002</v>
      </c>
    </row>
    <row r="108" spans="1:33" s="468" customFormat="1" ht="15" customHeight="1" x14ac:dyDescent="0.25">
      <c r="A108" s="409">
        <v>100</v>
      </c>
      <c r="B108" s="530" t="s">
        <v>451</v>
      </c>
      <c r="C108" s="414">
        <v>44256</v>
      </c>
      <c r="D108" s="415" t="s">
        <v>452</v>
      </c>
      <c r="E108" s="415" t="s">
        <v>453</v>
      </c>
      <c r="F108" s="410" t="s">
        <v>63</v>
      </c>
      <c r="G108" s="413" t="s">
        <v>64</v>
      </c>
      <c r="H108" s="420" t="s">
        <v>454</v>
      </c>
      <c r="I108" s="421" t="s">
        <v>455</v>
      </c>
      <c r="J108" s="413" t="s">
        <v>84</v>
      </c>
      <c r="K108" s="413" t="s">
        <v>456</v>
      </c>
      <c r="L108" s="246">
        <v>0.65</v>
      </c>
      <c r="M108" s="425">
        <f t="shared" si="26"/>
        <v>1176.5</v>
      </c>
      <c r="N108" s="426">
        <v>1518</v>
      </c>
      <c r="O108" s="427">
        <f t="shared" si="27"/>
        <v>1176.5</v>
      </c>
      <c r="P108" s="428">
        <f t="shared" si="19"/>
        <v>2694.5</v>
      </c>
      <c r="Q108" s="427">
        <f>IF(OR($G108="EST",$G108="EFE"),0,IF($P108&gt;='Tabelas INSS e IR'!$B$8,'Tabelas INSS e IR'!$D$8,IF($P108&gt;='Tabelas INSS e IR'!$B$7,($P108*'Tabelas INSS e IR'!$D$7)-'Tabelas INSS e IR'!$E$7,IF($P108&gt;='Tabelas INSS e IR'!$B$6,($P108*'Tabelas INSS e IR'!$D$6)-'Tabelas INSS e IR'!$E$6,IF($P108&gt;='Tabelas INSS e IR'!$B$5,($P108*'Tabelas INSS e IR'!$D$5)-'Tabelas INSS e IR'!$E$5,$P108*'Tabelas INSS e IR'!$D$4)))))</f>
        <v>219.73499999999999</v>
      </c>
      <c r="R108" s="133">
        <f>IF(OR($G108="EST",$G108="EFE"),0,IF($N108&gt;='Tabelas INSS e IR'!$B$8,'Tabelas INSS e IR'!$D$8,IF($N108&gt;='Tabelas INSS e IR'!$B$7,($N108*'Tabelas INSS e IR'!$D$7)-'Tabelas INSS e IR'!$E$7,IF($N108&gt;='Tabelas INSS e IR'!$B$6,($N108*'Tabelas INSS e IR'!$D$6)-'Tabelas INSS e IR'!$E$6,IF($N108&gt;='Tabelas INSS e IR'!$B$5,($N108*'Tabelas INSS e IR'!$D$5)-'Tabelas INSS e IR'!$E$5,$N108*'Tabelas INSS e IR'!$D$4)))))</f>
        <v>113.84999999999998</v>
      </c>
      <c r="S108" s="425"/>
      <c r="T108" s="429">
        <f>(IF(OR($G108="EST",$G108="EFE"),0,IF((Q108+S108)&gt;'Tabelas INSS e IR'!$D$8,'Tabelas INSS e IR'!$D$8-(S108+R108),(Q108-R108))))</f>
        <v>105.88500000000001</v>
      </c>
      <c r="U108" s="392">
        <f t="shared" si="25"/>
        <v>1404.15</v>
      </c>
      <c r="V108" s="430"/>
      <c r="W108" s="431">
        <f t="shared" si="20"/>
        <v>1404.15</v>
      </c>
      <c r="X108" s="432">
        <f t="shared" si="21"/>
        <v>1070.615</v>
      </c>
      <c r="Y108" s="427">
        <f t="shared" si="22"/>
        <v>2474.7650000000003</v>
      </c>
      <c r="Z108" s="427">
        <f>IF($Y108&lt;'Tabelas INSS e IR'!$H$5,0,IF($Y108&lt;'Tabelas INSS e IR'!$H$6,($Y108*'Tabelas INSS e IR'!$J$5)-'Tabelas INSS e IR'!$K$5,IF($Y108&lt;'Tabelas INSS e IR'!$H$7,($Y108*'Tabelas INSS e IR'!$J$6)-'Tabelas INSS e IR'!$K$6,IF($Y108&lt;'Tabelas INSS e IR'!$H$8,($Y108*'Tabelas INSS e IR'!$J$7)-'Tabelas INSS e IR'!$K$7,($Y108*'Tabelas INSS e IR'!$J$8)-'Tabelas INSS e IR'!$K$8))))</f>
        <v>3.4473749999999939</v>
      </c>
      <c r="AA108" s="427">
        <f>IF($W108&lt;'Tabelas INSS e IR'!$H$5,0,IF($W108&lt;'Tabelas INSS e IR'!$H$6,($W108*'Tabelas INSS e IR'!$J$5)-'Tabelas INSS e IR'!$K$5,IF($W108&lt;'Tabelas INSS e IR'!$H$7,($W108*'Tabelas INSS e IR'!$J$6)-'Tabelas INSS e IR'!$K$6,IF($W108&lt;'Tabelas INSS e IR'!$H$8,($W108*'Tabelas INSS e IR'!$J$7)-'Tabelas INSS e IR'!$K$7,($W108*'Tabelas INSS e IR'!$J$8)-'Tabelas INSS e IR'!$K$8))))</f>
        <v>0</v>
      </c>
      <c r="AB108" s="429">
        <f t="shared" si="23"/>
        <v>3.4473749999999939</v>
      </c>
      <c r="AC108" s="433"/>
      <c r="AD108" s="434"/>
      <c r="AE108" s="435"/>
      <c r="AF108" s="436">
        <f t="shared" si="24"/>
        <v>109.332375</v>
      </c>
      <c r="AG108" s="436">
        <f t="shared" si="16"/>
        <v>1067.167625</v>
      </c>
    </row>
    <row r="109" spans="1:33" s="468" customFormat="1" ht="15" customHeight="1" x14ac:dyDescent="0.25">
      <c r="A109" s="409">
        <v>101</v>
      </c>
      <c r="B109" s="520"/>
      <c r="C109" s="417"/>
      <c r="D109" s="416"/>
      <c r="E109" s="418"/>
      <c r="F109" s="411"/>
      <c r="G109" s="416"/>
      <c r="H109" s="416"/>
      <c r="I109" s="416"/>
      <c r="J109" s="416"/>
      <c r="K109" s="416"/>
      <c r="L109" s="424"/>
      <c r="M109" s="449">
        <f t="shared" si="26"/>
        <v>0</v>
      </c>
      <c r="N109" s="450"/>
      <c r="O109" s="451">
        <f t="shared" si="27"/>
        <v>0</v>
      </c>
      <c r="P109" s="452"/>
      <c r="Q109" s="451"/>
      <c r="R109" s="451"/>
      <c r="S109" s="449"/>
      <c r="T109" s="453"/>
      <c r="U109" s="454"/>
      <c r="V109" s="455"/>
      <c r="W109" s="456"/>
      <c r="X109" s="457"/>
      <c r="Y109" s="451"/>
      <c r="Z109" s="451"/>
      <c r="AA109" s="451"/>
      <c r="AB109" s="453"/>
      <c r="AC109" s="458"/>
      <c r="AD109" s="455"/>
      <c r="AE109" s="455"/>
      <c r="AF109" s="459"/>
      <c r="AG109" s="459"/>
    </row>
    <row r="110" spans="1:33" s="468" customFormat="1" ht="15" customHeight="1" x14ac:dyDescent="0.25">
      <c r="A110" s="103">
        <v>102</v>
      </c>
      <c r="B110" s="162"/>
      <c r="C110" s="411"/>
      <c r="D110" s="416"/>
      <c r="E110" s="411"/>
      <c r="F110" s="162"/>
      <c r="G110" s="416"/>
      <c r="H110" s="416"/>
      <c r="I110" s="416"/>
      <c r="J110" s="416"/>
      <c r="K110" s="416"/>
      <c r="L110" s="424"/>
      <c r="M110" s="449">
        <f t="shared" si="26"/>
        <v>0</v>
      </c>
      <c r="N110" s="450"/>
      <c r="O110" s="451">
        <f t="shared" si="27"/>
        <v>0</v>
      </c>
      <c r="P110" s="452"/>
      <c r="Q110" s="451"/>
      <c r="R110" s="451"/>
      <c r="S110" s="449"/>
      <c r="T110" s="453"/>
      <c r="U110" s="454"/>
      <c r="V110" s="455"/>
      <c r="W110" s="456"/>
      <c r="X110" s="457"/>
      <c r="Y110" s="451"/>
      <c r="Z110" s="451"/>
      <c r="AA110" s="451"/>
      <c r="AB110" s="453"/>
      <c r="AC110" s="458"/>
      <c r="AD110" s="455"/>
      <c r="AE110" s="455"/>
      <c r="AF110" s="459"/>
      <c r="AG110" s="459"/>
    </row>
    <row r="111" spans="1:33" s="468" customFormat="1" ht="15" customHeight="1" x14ac:dyDescent="0.25">
      <c r="A111" s="103">
        <v>103</v>
      </c>
      <c r="B111" s="278"/>
      <c r="C111" s="135"/>
      <c r="D111" s="419"/>
      <c r="E111" s="104"/>
      <c r="F111" s="104"/>
      <c r="G111" s="419"/>
      <c r="H111" s="422"/>
      <c r="I111" s="423"/>
      <c r="J111" s="419"/>
      <c r="K111" s="419"/>
      <c r="L111" s="246"/>
      <c r="M111" s="437">
        <f t="shared" si="26"/>
        <v>0</v>
      </c>
      <c r="N111" s="438">
        <v>0</v>
      </c>
      <c r="O111" s="439">
        <f t="shared" si="27"/>
        <v>0</v>
      </c>
      <c r="P111" s="440">
        <f t="shared" ref="P111:P123" si="28">N111+O111</f>
        <v>0</v>
      </c>
      <c r="Q111" s="439">
        <f>IF(OR($G111="EST",$G111="EFE"),0,IF($P111&gt;='Tabelas INSS e IR'!$B$8,'Tabelas INSS e IR'!$D$8,IF($P111&gt;='Tabelas INSS e IR'!$B$7,($P111*'Tabelas INSS e IR'!$D$7)-'Tabelas INSS e IR'!$E$7,IF($P111&gt;='Tabelas INSS e IR'!$B$6,($P111*'Tabelas INSS e IR'!$D$6)-'Tabelas INSS e IR'!$E$6,IF($P111&gt;='Tabelas INSS e IR'!$B$5,($P111*'Tabelas INSS e IR'!$D$5)-'Tabelas INSS e IR'!$E$5,$P111*'Tabelas INSS e IR'!$D$4)))))</f>
        <v>0</v>
      </c>
      <c r="R111" s="439">
        <f>IF(OR($G111="EST",$G111="EFE"),0,IF($N111&gt;='Tabelas INSS e IR'!$B$8,'Tabelas INSS e IR'!$D$8,IF($N111&gt;='Tabelas INSS e IR'!$B$7,($N111*'Tabelas INSS e IR'!$D$7)-'Tabelas INSS e IR'!$E$7,IF($N111&gt;='Tabelas INSS e IR'!$B$6,($N111*'Tabelas INSS e IR'!$D$6)-'Tabelas INSS e IR'!$E$6,IF($N111&gt;='Tabelas INSS e IR'!$B$5,($N111*'Tabelas INSS e IR'!$D$5)-'Tabelas INSS e IR'!$E$5,$N111*'Tabelas INSS e IR'!$D$4)))))</f>
        <v>0</v>
      </c>
      <c r="S111" s="437"/>
      <c r="T111" s="294">
        <f>(IF(OR($G111="EST",$G111="EFE"),0,IF((Q111+S111)&gt;'Tabelas INSS e IR'!$D$8,'Tabelas INSS e IR'!$D$8-(S111+R111),(Q111-R111))))</f>
        <v>0</v>
      </c>
      <c r="U111" s="441">
        <v>0</v>
      </c>
      <c r="V111" s="442"/>
      <c r="W111" s="443">
        <f t="shared" ref="W111:W123" si="29">U111-V111</f>
        <v>0</v>
      </c>
      <c r="X111" s="444">
        <f t="shared" ref="X111:X123" si="30">O111-T111</f>
        <v>0</v>
      </c>
      <c r="Y111" s="439">
        <f t="shared" ref="Y111:Y123" si="31">W111+X111</f>
        <v>0</v>
      </c>
      <c r="Z111" s="439">
        <f>IF($Y111&lt;'Tabelas INSS e IR'!$H$5,0,IF($Y111&lt;'Tabelas INSS e IR'!$H$6,($Y111*'Tabelas INSS e IR'!$J$5)-'Tabelas INSS e IR'!$K$5,IF($Y111&lt;'Tabelas INSS e IR'!$H$7,($Y111*'Tabelas INSS e IR'!$J$6)-'Tabelas INSS e IR'!$K$6,IF($Y111&lt;'Tabelas INSS e IR'!$H$8,($Y111*'Tabelas INSS e IR'!$J$7)-'Tabelas INSS e IR'!$K$7,($Y111*'Tabelas INSS e IR'!$J$8)-'Tabelas INSS e IR'!$K$8))))</f>
        <v>0</v>
      </c>
      <c r="AA111" s="439">
        <f>IF($W111&lt;'Tabelas INSS e IR'!$H$5,0,IF($W111&lt;'Tabelas INSS e IR'!$H$6,($W111*'Tabelas INSS e IR'!$J$5)-'Tabelas INSS e IR'!$K$5,IF($W111&lt;'Tabelas INSS e IR'!$H$7,($W111*'Tabelas INSS e IR'!$J$6)-'Tabelas INSS e IR'!$K$6,IF($W111&lt;'Tabelas INSS e IR'!$H$8,($W111*'Tabelas INSS e IR'!$J$7)-'Tabelas INSS e IR'!$K$7,($W111*'Tabelas INSS e IR'!$J$8)-'Tabelas INSS e IR'!$K$8))))</f>
        <v>0</v>
      </c>
      <c r="AB111" s="294">
        <f t="shared" ref="AB111:AB123" si="32">Z111-AA111</f>
        <v>0</v>
      </c>
      <c r="AC111" s="445"/>
      <c r="AD111" s="446"/>
      <c r="AE111" s="447"/>
      <c r="AF111" s="448">
        <f t="shared" ref="AF111:AF123" si="33">T111+AB111+AC111</f>
        <v>0</v>
      </c>
      <c r="AG111" s="448">
        <f t="shared" ref="AG111:AG123" si="34">O111-AF111</f>
        <v>0</v>
      </c>
    </row>
    <row r="112" spans="1:33" s="468" customFormat="1" ht="15" customHeight="1" x14ac:dyDescent="0.25">
      <c r="A112" s="103">
        <v>104</v>
      </c>
      <c r="B112" s="278"/>
      <c r="C112" s="135"/>
      <c r="D112" s="104"/>
      <c r="E112" s="104"/>
      <c r="F112" s="104"/>
      <c r="G112" s="104"/>
      <c r="H112" s="136"/>
      <c r="I112" s="148"/>
      <c r="J112" s="104"/>
      <c r="K112" s="104"/>
      <c r="L112" s="246"/>
      <c r="M112" s="132">
        <f t="shared" si="26"/>
        <v>0</v>
      </c>
      <c r="N112" s="141">
        <v>0</v>
      </c>
      <c r="O112" s="133">
        <f t="shared" si="27"/>
        <v>0</v>
      </c>
      <c r="P112" s="293">
        <f t="shared" si="28"/>
        <v>0</v>
      </c>
      <c r="Q112" s="133">
        <f>IF(OR($G112="EST",$G112="EFE"),0,IF($P112&gt;='Tabelas INSS e IR'!$B$8,'Tabelas INSS e IR'!$D$8,IF($P112&gt;='Tabelas INSS e IR'!$B$7,($P112*'Tabelas INSS e IR'!$D$7)-'Tabelas INSS e IR'!$E$7,IF($P112&gt;='Tabelas INSS e IR'!$B$6,($P112*'Tabelas INSS e IR'!$D$6)-'Tabelas INSS e IR'!$E$6,IF($P112&gt;='Tabelas INSS e IR'!$B$5,($P112*'Tabelas INSS e IR'!$D$5)-'Tabelas INSS e IR'!$E$5,$P112*'Tabelas INSS e IR'!$D$4)))))</f>
        <v>0</v>
      </c>
      <c r="R112" s="133">
        <f>IF(OR($G112="EST",$G112="EFE"),0,IF($N112&gt;='Tabelas INSS e IR'!$B$8,'Tabelas INSS e IR'!$D$8,IF($N112&gt;='Tabelas INSS e IR'!$B$7,($N112*'Tabelas INSS e IR'!$D$7)-'Tabelas INSS e IR'!$E$7,IF($N112&gt;='Tabelas INSS e IR'!$B$6,($N112*'Tabelas INSS e IR'!$D$6)-'Tabelas INSS e IR'!$E$6,IF($N112&gt;='Tabelas INSS e IR'!$B$5,($N112*'Tabelas INSS e IR'!$D$5)-'Tabelas INSS e IR'!$E$5,$N112*'Tabelas INSS e IR'!$D$4)))))</f>
        <v>0</v>
      </c>
      <c r="S112" s="132"/>
      <c r="T112" s="294">
        <f>(IF(OR($G112="EST",$G112="EFE"),0,IF((Q112+S112)&gt;'Tabelas INSS e IR'!$D$8,'Tabelas INSS e IR'!$D$8-(S112+R112),(Q112-R112))))</f>
        <v>0</v>
      </c>
      <c r="U112" s="171">
        <v>0</v>
      </c>
      <c r="V112" s="143"/>
      <c r="W112" s="247">
        <f t="shared" si="29"/>
        <v>0</v>
      </c>
      <c r="X112" s="291">
        <f t="shared" si="30"/>
        <v>0</v>
      </c>
      <c r="Y112" s="133">
        <f t="shared" si="31"/>
        <v>0</v>
      </c>
      <c r="Z112" s="133">
        <f>IF($Y112&lt;'Tabelas INSS e IR'!$H$5,0,IF($Y112&lt;'Tabelas INSS e IR'!$H$6,($Y112*'Tabelas INSS e IR'!$J$5)-'Tabelas INSS e IR'!$K$5,IF($Y112&lt;'Tabelas INSS e IR'!$H$7,($Y112*'Tabelas INSS e IR'!$J$6)-'Tabelas INSS e IR'!$K$6,IF($Y112&lt;'Tabelas INSS e IR'!$H$8,($Y112*'Tabelas INSS e IR'!$J$7)-'Tabelas INSS e IR'!$K$7,($Y112*'Tabelas INSS e IR'!$J$8)-'Tabelas INSS e IR'!$K$8))))</f>
        <v>0</v>
      </c>
      <c r="AA112" s="133">
        <f>IF($W112&lt;'Tabelas INSS e IR'!$H$5,0,IF($W112&lt;'Tabelas INSS e IR'!$H$6,($W112*'Tabelas INSS e IR'!$J$5)-'Tabelas INSS e IR'!$K$5,IF($W112&lt;'Tabelas INSS e IR'!$H$7,($W112*'Tabelas INSS e IR'!$J$6)-'Tabelas INSS e IR'!$K$6,IF($W112&lt;'Tabelas INSS e IR'!$H$8,($W112*'Tabelas INSS e IR'!$J$7)-'Tabelas INSS e IR'!$K$7,($W112*'Tabelas INSS e IR'!$J$8)-'Tabelas INSS e IR'!$K$8))))</f>
        <v>0</v>
      </c>
      <c r="AB112" s="294">
        <f t="shared" si="32"/>
        <v>0</v>
      </c>
      <c r="AC112" s="138"/>
      <c r="AD112" s="137"/>
      <c r="AE112" s="139"/>
      <c r="AF112" s="297">
        <f t="shared" si="33"/>
        <v>0</v>
      </c>
      <c r="AG112" s="297">
        <f t="shared" si="34"/>
        <v>0</v>
      </c>
    </row>
    <row r="113" spans="1:33" s="468" customFormat="1" ht="15" customHeight="1" x14ac:dyDescent="0.25">
      <c r="A113" s="103">
        <v>105</v>
      </c>
      <c r="B113" s="278"/>
      <c r="C113" s="135"/>
      <c r="D113" s="104"/>
      <c r="E113" s="104"/>
      <c r="F113" s="104"/>
      <c r="G113" s="104"/>
      <c r="H113" s="136"/>
      <c r="I113" s="148"/>
      <c r="J113" s="104"/>
      <c r="K113" s="104"/>
      <c r="L113" s="246"/>
      <c r="M113" s="132">
        <f t="shared" si="26"/>
        <v>0</v>
      </c>
      <c r="N113" s="141">
        <v>0</v>
      </c>
      <c r="O113" s="133">
        <f t="shared" si="27"/>
        <v>0</v>
      </c>
      <c r="P113" s="293">
        <f t="shared" si="28"/>
        <v>0</v>
      </c>
      <c r="Q113" s="133">
        <f>IF(OR($G113="EST",$G113="EFE"),0,IF($P113&gt;='Tabelas INSS e IR'!$B$8,'Tabelas INSS e IR'!$D$8,IF($P113&gt;='Tabelas INSS e IR'!$B$7,($P113*'Tabelas INSS e IR'!$D$7)-'Tabelas INSS e IR'!$E$7,IF($P113&gt;='Tabelas INSS e IR'!$B$6,($P113*'Tabelas INSS e IR'!$D$6)-'Tabelas INSS e IR'!$E$6,IF($P113&gt;='Tabelas INSS e IR'!$B$5,($P113*'Tabelas INSS e IR'!$D$5)-'Tabelas INSS e IR'!$E$5,$P113*'Tabelas INSS e IR'!$D$4)))))</f>
        <v>0</v>
      </c>
      <c r="R113" s="133">
        <f>IF(OR($G113="EST",$G113="EFE"),0,IF($N113&gt;='Tabelas INSS e IR'!$B$8,'Tabelas INSS e IR'!$D$8,IF($N113&gt;='Tabelas INSS e IR'!$B$7,($N113*'Tabelas INSS e IR'!$D$7)-'Tabelas INSS e IR'!$E$7,IF($N113&gt;='Tabelas INSS e IR'!$B$6,($N113*'Tabelas INSS e IR'!$D$6)-'Tabelas INSS e IR'!$E$6,IF($N113&gt;='Tabelas INSS e IR'!$B$5,($N113*'Tabelas INSS e IR'!$D$5)-'Tabelas INSS e IR'!$E$5,$N113*'Tabelas INSS e IR'!$D$4)))))</f>
        <v>0</v>
      </c>
      <c r="S113" s="132"/>
      <c r="T113" s="294">
        <f>(IF(OR($G113="EST",$G113="EFE"),0,IF((Q113+S113)&gt;'Tabelas INSS e IR'!$D$8,'Tabelas INSS e IR'!$D$8-(S113+R113),(Q113-R113))))</f>
        <v>0</v>
      </c>
      <c r="U113" s="171">
        <v>0</v>
      </c>
      <c r="V113" s="143"/>
      <c r="W113" s="247">
        <f t="shared" si="29"/>
        <v>0</v>
      </c>
      <c r="X113" s="291">
        <f t="shared" si="30"/>
        <v>0</v>
      </c>
      <c r="Y113" s="133">
        <f t="shared" si="31"/>
        <v>0</v>
      </c>
      <c r="Z113" s="133">
        <f>IF($Y113&lt;'Tabelas INSS e IR'!$H$5,0,IF($Y113&lt;'Tabelas INSS e IR'!$H$6,($Y113*'Tabelas INSS e IR'!$J$5)-'Tabelas INSS e IR'!$K$5,IF($Y113&lt;'Tabelas INSS e IR'!$H$7,($Y113*'Tabelas INSS e IR'!$J$6)-'Tabelas INSS e IR'!$K$6,IF($Y113&lt;'Tabelas INSS e IR'!$H$8,($Y113*'Tabelas INSS e IR'!$J$7)-'Tabelas INSS e IR'!$K$7,($Y113*'Tabelas INSS e IR'!$J$8)-'Tabelas INSS e IR'!$K$8))))</f>
        <v>0</v>
      </c>
      <c r="AA113" s="133">
        <f>IF($W113&lt;'Tabelas INSS e IR'!$H$5,0,IF($W113&lt;'Tabelas INSS e IR'!$H$6,($W113*'Tabelas INSS e IR'!$J$5)-'Tabelas INSS e IR'!$K$5,IF($W113&lt;'Tabelas INSS e IR'!$H$7,($W113*'Tabelas INSS e IR'!$J$6)-'Tabelas INSS e IR'!$K$6,IF($W113&lt;'Tabelas INSS e IR'!$H$8,($W113*'Tabelas INSS e IR'!$J$7)-'Tabelas INSS e IR'!$K$7,($W113*'Tabelas INSS e IR'!$J$8)-'Tabelas INSS e IR'!$K$8))))</f>
        <v>0</v>
      </c>
      <c r="AB113" s="294">
        <f t="shared" si="32"/>
        <v>0</v>
      </c>
      <c r="AC113" s="138"/>
      <c r="AD113" s="137"/>
      <c r="AE113" s="139"/>
      <c r="AF113" s="297">
        <f t="shared" si="33"/>
        <v>0</v>
      </c>
      <c r="AG113" s="297">
        <f t="shared" si="34"/>
        <v>0</v>
      </c>
    </row>
    <row r="114" spans="1:33" s="468" customFormat="1" ht="15" customHeight="1" x14ac:dyDescent="0.25">
      <c r="A114" s="103">
        <v>106</v>
      </c>
      <c r="B114" s="278"/>
      <c r="C114" s="135"/>
      <c r="D114" s="104"/>
      <c r="E114" s="104"/>
      <c r="F114" s="104"/>
      <c r="G114" s="104"/>
      <c r="H114" s="136"/>
      <c r="I114" s="148"/>
      <c r="J114" s="104"/>
      <c r="K114" s="104"/>
      <c r="L114" s="246"/>
      <c r="M114" s="132">
        <f t="shared" si="26"/>
        <v>0</v>
      </c>
      <c r="N114" s="141">
        <v>0</v>
      </c>
      <c r="O114" s="133">
        <f t="shared" si="27"/>
        <v>0</v>
      </c>
      <c r="P114" s="293">
        <f t="shared" si="28"/>
        <v>0</v>
      </c>
      <c r="Q114" s="133">
        <f>IF(OR($G114="EST",$G114="EFE"),0,IF($P114&gt;='Tabelas INSS e IR'!$B$8,'Tabelas INSS e IR'!$D$8,IF($P114&gt;='Tabelas INSS e IR'!$B$7,($P114*'Tabelas INSS e IR'!$D$7)-'Tabelas INSS e IR'!$E$7,IF($P114&gt;='Tabelas INSS e IR'!$B$6,($P114*'Tabelas INSS e IR'!$D$6)-'Tabelas INSS e IR'!$E$6,IF($P114&gt;='Tabelas INSS e IR'!$B$5,($P114*'Tabelas INSS e IR'!$D$5)-'Tabelas INSS e IR'!$E$5,$P114*'Tabelas INSS e IR'!$D$4)))))</f>
        <v>0</v>
      </c>
      <c r="R114" s="133">
        <f>IF(OR($G114="EST",$G114="EFE"),0,IF($N114&gt;='Tabelas INSS e IR'!$B$8,'Tabelas INSS e IR'!$D$8,IF($N114&gt;='Tabelas INSS e IR'!$B$7,($N114*'Tabelas INSS e IR'!$D$7)-'Tabelas INSS e IR'!$E$7,IF($N114&gt;='Tabelas INSS e IR'!$B$6,($N114*'Tabelas INSS e IR'!$D$6)-'Tabelas INSS e IR'!$E$6,IF($N114&gt;='Tabelas INSS e IR'!$B$5,($N114*'Tabelas INSS e IR'!$D$5)-'Tabelas INSS e IR'!$E$5,$N114*'Tabelas INSS e IR'!$D$4)))))</f>
        <v>0</v>
      </c>
      <c r="S114" s="132"/>
      <c r="T114" s="294">
        <f>(IF(OR($G114="EST",$G114="EFE"),0,IF((Q114+S114)&gt;'Tabelas INSS e IR'!$D$8,'Tabelas INSS e IR'!$D$8-(S114+R114),(Q114-R114))))</f>
        <v>0</v>
      </c>
      <c r="U114" s="171">
        <v>0</v>
      </c>
      <c r="V114" s="143"/>
      <c r="W114" s="247">
        <f t="shared" si="29"/>
        <v>0</v>
      </c>
      <c r="X114" s="291">
        <f t="shared" si="30"/>
        <v>0</v>
      </c>
      <c r="Y114" s="133">
        <f t="shared" si="31"/>
        <v>0</v>
      </c>
      <c r="Z114" s="133">
        <f>IF($Y114&lt;'Tabelas INSS e IR'!$H$5,0,IF($Y114&lt;'Tabelas INSS e IR'!$H$6,($Y114*'Tabelas INSS e IR'!$J$5)-'Tabelas INSS e IR'!$K$5,IF($Y114&lt;'Tabelas INSS e IR'!$H$7,($Y114*'Tabelas INSS e IR'!$J$6)-'Tabelas INSS e IR'!$K$6,IF($Y114&lt;'Tabelas INSS e IR'!$H$8,($Y114*'Tabelas INSS e IR'!$J$7)-'Tabelas INSS e IR'!$K$7,($Y114*'Tabelas INSS e IR'!$J$8)-'Tabelas INSS e IR'!$K$8))))</f>
        <v>0</v>
      </c>
      <c r="AA114" s="133">
        <f>IF($W114&lt;'Tabelas INSS e IR'!$H$5,0,IF($W114&lt;'Tabelas INSS e IR'!$H$6,($W114*'Tabelas INSS e IR'!$J$5)-'Tabelas INSS e IR'!$K$5,IF($W114&lt;'Tabelas INSS e IR'!$H$7,($W114*'Tabelas INSS e IR'!$J$6)-'Tabelas INSS e IR'!$K$6,IF($W114&lt;'Tabelas INSS e IR'!$H$8,($W114*'Tabelas INSS e IR'!$J$7)-'Tabelas INSS e IR'!$K$7,($W114*'Tabelas INSS e IR'!$J$8)-'Tabelas INSS e IR'!$K$8))))</f>
        <v>0</v>
      </c>
      <c r="AB114" s="294">
        <f t="shared" si="32"/>
        <v>0</v>
      </c>
      <c r="AC114" s="138"/>
      <c r="AD114" s="137"/>
      <c r="AE114" s="139"/>
      <c r="AF114" s="297">
        <f t="shared" si="33"/>
        <v>0</v>
      </c>
      <c r="AG114" s="297">
        <f t="shared" si="34"/>
        <v>0</v>
      </c>
    </row>
    <row r="115" spans="1:33" s="468" customFormat="1" ht="15" customHeight="1" x14ac:dyDescent="0.25">
      <c r="A115" s="103">
        <v>107</v>
      </c>
      <c r="B115" s="278"/>
      <c r="C115" s="135"/>
      <c r="D115" s="104"/>
      <c r="E115" s="104"/>
      <c r="F115" s="104"/>
      <c r="G115" s="104"/>
      <c r="H115" s="136"/>
      <c r="I115" s="148"/>
      <c r="J115" s="104"/>
      <c r="K115" s="104"/>
      <c r="L115" s="246"/>
      <c r="M115" s="132">
        <f t="shared" si="26"/>
        <v>0</v>
      </c>
      <c r="N115" s="141">
        <v>0</v>
      </c>
      <c r="O115" s="133">
        <f t="shared" si="27"/>
        <v>0</v>
      </c>
      <c r="P115" s="293">
        <f t="shared" si="28"/>
        <v>0</v>
      </c>
      <c r="Q115" s="133">
        <f>IF(OR($G115="EST",$G115="EFE"),0,IF($P115&gt;='Tabelas INSS e IR'!$B$8,'Tabelas INSS e IR'!$D$8,IF($P115&gt;='Tabelas INSS e IR'!$B$7,($P115*'Tabelas INSS e IR'!$D$7)-'Tabelas INSS e IR'!$E$7,IF($P115&gt;='Tabelas INSS e IR'!$B$6,($P115*'Tabelas INSS e IR'!$D$6)-'Tabelas INSS e IR'!$E$6,IF($P115&gt;='Tabelas INSS e IR'!$B$5,($P115*'Tabelas INSS e IR'!$D$5)-'Tabelas INSS e IR'!$E$5,$P115*'Tabelas INSS e IR'!$D$4)))))</f>
        <v>0</v>
      </c>
      <c r="R115" s="133">
        <f>IF(OR($G115="EST",$G115="EFE"),0,IF($N115&gt;='Tabelas INSS e IR'!$B$8,'Tabelas INSS e IR'!$D$8,IF($N115&gt;='Tabelas INSS e IR'!$B$7,($N115*'Tabelas INSS e IR'!$D$7)-'Tabelas INSS e IR'!$E$7,IF($N115&gt;='Tabelas INSS e IR'!$B$6,($N115*'Tabelas INSS e IR'!$D$6)-'Tabelas INSS e IR'!$E$6,IF($N115&gt;='Tabelas INSS e IR'!$B$5,($N115*'Tabelas INSS e IR'!$D$5)-'Tabelas INSS e IR'!$E$5,$N115*'Tabelas INSS e IR'!$D$4)))))</f>
        <v>0</v>
      </c>
      <c r="S115" s="132"/>
      <c r="T115" s="294">
        <f>(IF(OR($G115="EST",$G115="EFE"),0,IF((Q115+S115)&gt;'Tabelas INSS e IR'!$D$8,'Tabelas INSS e IR'!$D$8-(S115+R115),(Q115-R115))))</f>
        <v>0</v>
      </c>
      <c r="U115" s="171">
        <v>0</v>
      </c>
      <c r="V115" s="143"/>
      <c r="W115" s="247">
        <f t="shared" si="29"/>
        <v>0</v>
      </c>
      <c r="X115" s="291">
        <f t="shared" si="30"/>
        <v>0</v>
      </c>
      <c r="Y115" s="133">
        <f t="shared" si="31"/>
        <v>0</v>
      </c>
      <c r="Z115" s="133">
        <f>IF($Y115&lt;'Tabelas INSS e IR'!$H$5,0,IF($Y115&lt;'Tabelas INSS e IR'!$H$6,($Y115*'Tabelas INSS e IR'!$J$5)-'Tabelas INSS e IR'!$K$5,IF($Y115&lt;'Tabelas INSS e IR'!$H$7,($Y115*'Tabelas INSS e IR'!$J$6)-'Tabelas INSS e IR'!$K$6,IF($Y115&lt;'Tabelas INSS e IR'!$H$8,($Y115*'Tabelas INSS e IR'!$J$7)-'Tabelas INSS e IR'!$K$7,($Y115*'Tabelas INSS e IR'!$J$8)-'Tabelas INSS e IR'!$K$8))))</f>
        <v>0</v>
      </c>
      <c r="AA115" s="133">
        <f>IF($W115&lt;'Tabelas INSS e IR'!$H$5,0,IF($W115&lt;'Tabelas INSS e IR'!$H$6,($W115*'Tabelas INSS e IR'!$J$5)-'Tabelas INSS e IR'!$K$5,IF($W115&lt;'Tabelas INSS e IR'!$H$7,($W115*'Tabelas INSS e IR'!$J$6)-'Tabelas INSS e IR'!$K$6,IF($W115&lt;'Tabelas INSS e IR'!$H$8,($W115*'Tabelas INSS e IR'!$J$7)-'Tabelas INSS e IR'!$K$7,($W115*'Tabelas INSS e IR'!$J$8)-'Tabelas INSS e IR'!$K$8))))</f>
        <v>0</v>
      </c>
      <c r="AB115" s="294">
        <f t="shared" si="32"/>
        <v>0</v>
      </c>
      <c r="AC115" s="138"/>
      <c r="AD115" s="137"/>
      <c r="AE115" s="139"/>
      <c r="AF115" s="297">
        <f t="shared" si="33"/>
        <v>0</v>
      </c>
      <c r="AG115" s="297">
        <f t="shared" si="34"/>
        <v>0</v>
      </c>
    </row>
    <row r="116" spans="1:33" s="468" customFormat="1" ht="15" customHeight="1" x14ac:dyDescent="0.25">
      <c r="A116" s="103">
        <v>108</v>
      </c>
      <c r="B116" s="278"/>
      <c r="C116" s="135"/>
      <c r="D116" s="104"/>
      <c r="E116" s="104"/>
      <c r="F116" s="104"/>
      <c r="G116" s="104"/>
      <c r="H116" s="136"/>
      <c r="I116" s="148"/>
      <c r="J116" s="104"/>
      <c r="K116" s="104"/>
      <c r="L116" s="246"/>
      <c r="M116" s="132">
        <f t="shared" si="26"/>
        <v>0</v>
      </c>
      <c r="N116" s="141">
        <v>0</v>
      </c>
      <c r="O116" s="133">
        <f t="shared" si="27"/>
        <v>0</v>
      </c>
      <c r="P116" s="293">
        <f t="shared" si="28"/>
        <v>0</v>
      </c>
      <c r="Q116" s="133">
        <f>IF(OR($G116="EST",$G116="EFE"),0,IF($P116&gt;='Tabelas INSS e IR'!$B$8,'Tabelas INSS e IR'!$D$8,IF($P116&gt;='Tabelas INSS e IR'!$B$7,($P116*'Tabelas INSS e IR'!$D$7)-'Tabelas INSS e IR'!$E$7,IF($P116&gt;='Tabelas INSS e IR'!$B$6,($P116*'Tabelas INSS e IR'!$D$6)-'Tabelas INSS e IR'!$E$6,IF($P116&gt;='Tabelas INSS e IR'!$B$5,($P116*'Tabelas INSS e IR'!$D$5)-'Tabelas INSS e IR'!$E$5,$P116*'Tabelas INSS e IR'!$D$4)))))</f>
        <v>0</v>
      </c>
      <c r="R116" s="133">
        <f>IF(OR($G116="EST",$G116="EFE"),0,IF($N116&gt;='Tabelas INSS e IR'!$B$8,'Tabelas INSS e IR'!$D$8,IF($N116&gt;='Tabelas INSS e IR'!$B$7,($N116*'Tabelas INSS e IR'!$D$7)-'Tabelas INSS e IR'!$E$7,IF($N116&gt;='Tabelas INSS e IR'!$B$6,($N116*'Tabelas INSS e IR'!$D$6)-'Tabelas INSS e IR'!$E$6,IF($N116&gt;='Tabelas INSS e IR'!$B$5,($N116*'Tabelas INSS e IR'!$D$5)-'Tabelas INSS e IR'!$E$5,$N116*'Tabelas INSS e IR'!$D$4)))))</f>
        <v>0</v>
      </c>
      <c r="S116" s="132"/>
      <c r="T116" s="294">
        <f>(IF(OR($G116="EST",$G116="EFE"),0,IF((Q116+S116)&gt;'Tabelas INSS e IR'!$D$8,'Tabelas INSS e IR'!$D$8-(S116+R116),(Q116-R116))))</f>
        <v>0</v>
      </c>
      <c r="U116" s="171">
        <v>0</v>
      </c>
      <c r="V116" s="143"/>
      <c r="W116" s="247">
        <f t="shared" si="29"/>
        <v>0</v>
      </c>
      <c r="X116" s="291">
        <f t="shared" si="30"/>
        <v>0</v>
      </c>
      <c r="Y116" s="133">
        <f t="shared" si="31"/>
        <v>0</v>
      </c>
      <c r="Z116" s="133">
        <f>IF($Y116&lt;'Tabelas INSS e IR'!$H$5,0,IF($Y116&lt;'Tabelas INSS e IR'!$H$6,($Y116*'Tabelas INSS e IR'!$J$5)-'Tabelas INSS e IR'!$K$5,IF($Y116&lt;'Tabelas INSS e IR'!$H$7,($Y116*'Tabelas INSS e IR'!$J$6)-'Tabelas INSS e IR'!$K$6,IF($Y116&lt;'Tabelas INSS e IR'!$H$8,($Y116*'Tabelas INSS e IR'!$J$7)-'Tabelas INSS e IR'!$K$7,($Y116*'Tabelas INSS e IR'!$J$8)-'Tabelas INSS e IR'!$K$8))))</f>
        <v>0</v>
      </c>
      <c r="AA116" s="133">
        <f>IF($W116&lt;'Tabelas INSS e IR'!$H$5,0,IF($W116&lt;'Tabelas INSS e IR'!$H$6,($W116*'Tabelas INSS e IR'!$J$5)-'Tabelas INSS e IR'!$K$5,IF($W116&lt;'Tabelas INSS e IR'!$H$7,($W116*'Tabelas INSS e IR'!$J$6)-'Tabelas INSS e IR'!$K$6,IF($W116&lt;'Tabelas INSS e IR'!$H$8,($W116*'Tabelas INSS e IR'!$J$7)-'Tabelas INSS e IR'!$K$7,($W116*'Tabelas INSS e IR'!$J$8)-'Tabelas INSS e IR'!$K$8))))</f>
        <v>0</v>
      </c>
      <c r="AB116" s="294">
        <f t="shared" si="32"/>
        <v>0</v>
      </c>
      <c r="AC116" s="138"/>
      <c r="AD116" s="137"/>
      <c r="AE116" s="139"/>
      <c r="AF116" s="297">
        <f t="shared" si="33"/>
        <v>0</v>
      </c>
      <c r="AG116" s="297">
        <f t="shared" si="34"/>
        <v>0</v>
      </c>
    </row>
    <row r="117" spans="1:33" s="468" customFormat="1" ht="15" customHeight="1" x14ac:dyDescent="0.25">
      <c r="A117" s="103">
        <v>109</v>
      </c>
      <c r="B117" s="278"/>
      <c r="C117" s="135"/>
      <c r="D117" s="104"/>
      <c r="E117" s="104"/>
      <c r="F117" s="104"/>
      <c r="G117" s="104"/>
      <c r="H117" s="136"/>
      <c r="I117" s="148"/>
      <c r="J117" s="104"/>
      <c r="K117" s="104"/>
      <c r="L117" s="246"/>
      <c r="M117" s="132">
        <f t="shared" si="26"/>
        <v>0</v>
      </c>
      <c r="N117" s="141">
        <v>0</v>
      </c>
      <c r="O117" s="133">
        <f t="shared" si="27"/>
        <v>0</v>
      </c>
      <c r="P117" s="293">
        <f t="shared" si="28"/>
        <v>0</v>
      </c>
      <c r="Q117" s="133">
        <f>IF(OR($G117="EST",$G117="EFE"),0,IF($P117&gt;='Tabelas INSS e IR'!$B$8,'Tabelas INSS e IR'!$D$8,IF($P117&gt;='Tabelas INSS e IR'!$B$7,($P117*'Tabelas INSS e IR'!$D$7)-'Tabelas INSS e IR'!$E$7,IF($P117&gt;='Tabelas INSS e IR'!$B$6,($P117*'Tabelas INSS e IR'!$D$6)-'Tabelas INSS e IR'!$E$6,IF($P117&gt;='Tabelas INSS e IR'!$B$5,($P117*'Tabelas INSS e IR'!$D$5)-'Tabelas INSS e IR'!$E$5,$P117*'Tabelas INSS e IR'!$D$4)))))</f>
        <v>0</v>
      </c>
      <c r="R117" s="133">
        <f>IF(OR($G117="EST",$G117="EFE"),0,IF($N117&gt;='Tabelas INSS e IR'!$B$8,'Tabelas INSS e IR'!$D$8,IF($N117&gt;='Tabelas INSS e IR'!$B$7,($N117*'Tabelas INSS e IR'!$D$7)-'Tabelas INSS e IR'!$E$7,IF($N117&gt;='Tabelas INSS e IR'!$B$6,($N117*'Tabelas INSS e IR'!$D$6)-'Tabelas INSS e IR'!$E$6,IF($N117&gt;='Tabelas INSS e IR'!$B$5,($N117*'Tabelas INSS e IR'!$D$5)-'Tabelas INSS e IR'!$E$5,$N117*'Tabelas INSS e IR'!$D$4)))))</f>
        <v>0</v>
      </c>
      <c r="S117" s="132"/>
      <c r="T117" s="294">
        <f>(IF(OR($G117="EST",$G117="EFE"),0,IF((Q117+S117)&gt;'Tabelas INSS e IR'!$D$8,'Tabelas INSS e IR'!$D$8-(S117+R117),(Q117-R117))))</f>
        <v>0</v>
      </c>
      <c r="U117" s="171">
        <v>0</v>
      </c>
      <c r="V117" s="143"/>
      <c r="W117" s="247">
        <f t="shared" si="29"/>
        <v>0</v>
      </c>
      <c r="X117" s="291">
        <f t="shared" si="30"/>
        <v>0</v>
      </c>
      <c r="Y117" s="133">
        <f t="shared" si="31"/>
        <v>0</v>
      </c>
      <c r="Z117" s="133">
        <f>IF($Y117&lt;'Tabelas INSS e IR'!$H$5,0,IF($Y117&lt;'Tabelas INSS e IR'!$H$6,($Y117*'Tabelas INSS e IR'!$J$5)-'Tabelas INSS e IR'!$K$5,IF($Y117&lt;'Tabelas INSS e IR'!$H$7,($Y117*'Tabelas INSS e IR'!$J$6)-'Tabelas INSS e IR'!$K$6,IF($Y117&lt;'Tabelas INSS e IR'!$H$8,($Y117*'Tabelas INSS e IR'!$J$7)-'Tabelas INSS e IR'!$K$7,($Y117*'Tabelas INSS e IR'!$J$8)-'Tabelas INSS e IR'!$K$8))))</f>
        <v>0</v>
      </c>
      <c r="AA117" s="133">
        <f>IF($W117&lt;'Tabelas INSS e IR'!$H$5,0,IF($W117&lt;'Tabelas INSS e IR'!$H$6,($W117*'Tabelas INSS e IR'!$J$5)-'Tabelas INSS e IR'!$K$5,IF($W117&lt;'Tabelas INSS e IR'!$H$7,($W117*'Tabelas INSS e IR'!$J$6)-'Tabelas INSS e IR'!$K$6,IF($W117&lt;'Tabelas INSS e IR'!$H$8,($W117*'Tabelas INSS e IR'!$J$7)-'Tabelas INSS e IR'!$K$7,($W117*'Tabelas INSS e IR'!$J$8)-'Tabelas INSS e IR'!$K$8))))</f>
        <v>0</v>
      </c>
      <c r="AB117" s="294">
        <f t="shared" si="32"/>
        <v>0</v>
      </c>
      <c r="AC117" s="138"/>
      <c r="AD117" s="137"/>
      <c r="AE117" s="139"/>
      <c r="AF117" s="297">
        <f t="shared" si="33"/>
        <v>0</v>
      </c>
      <c r="AG117" s="297">
        <f t="shared" si="34"/>
        <v>0</v>
      </c>
    </row>
    <row r="118" spans="1:33" s="468" customFormat="1" ht="15" customHeight="1" x14ac:dyDescent="0.25">
      <c r="A118" s="103">
        <v>110</v>
      </c>
      <c r="B118" s="278"/>
      <c r="C118" s="135"/>
      <c r="D118" s="104"/>
      <c r="E118" s="104"/>
      <c r="F118" s="104"/>
      <c r="G118" s="104"/>
      <c r="H118" s="136"/>
      <c r="I118" s="148"/>
      <c r="J118" s="104"/>
      <c r="K118" s="104"/>
      <c r="L118" s="246"/>
      <c r="M118" s="132">
        <f t="shared" si="26"/>
        <v>0</v>
      </c>
      <c r="N118" s="141">
        <v>0</v>
      </c>
      <c r="O118" s="133">
        <f t="shared" si="27"/>
        <v>0</v>
      </c>
      <c r="P118" s="293">
        <f t="shared" si="28"/>
        <v>0</v>
      </c>
      <c r="Q118" s="133">
        <f>IF(OR($G118="EST",$G118="EFE"),0,IF($P118&gt;='Tabelas INSS e IR'!$B$8,'Tabelas INSS e IR'!$D$8,IF($P118&gt;='Tabelas INSS e IR'!$B$7,($P118*'Tabelas INSS e IR'!$D$7)-'Tabelas INSS e IR'!$E$7,IF($P118&gt;='Tabelas INSS e IR'!$B$6,($P118*'Tabelas INSS e IR'!$D$6)-'Tabelas INSS e IR'!$E$6,IF($P118&gt;='Tabelas INSS e IR'!$B$5,($P118*'Tabelas INSS e IR'!$D$5)-'Tabelas INSS e IR'!$E$5,$P118*'Tabelas INSS e IR'!$D$4)))))</f>
        <v>0</v>
      </c>
      <c r="R118" s="133">
        <f>IF(OR($G118="EST",$G118="EFE"),0,IF($N118&gt;='Tabelas INSS e IR'!$B$8,'Tabelas INSS e IR'!$D$8,IF($N118&gt;='Tabelas INSS e IR'!$B$7,($N118*'Tabelas INSS e IR'!$D$7)-'Tabelas INSS e IR'!$E$7,IF($N118&gt;='Tabelas INSS e IR'!$B$6,($N118*'Tabelas INSS e IR'!$D$6)-'Tabelas INSS e IR'!$E$6,IF($N118&gt;='Tabelas INSS e IR'!$B$5,($N118*'Tabelas INSS e IR'!$D$5)-'Tabelas INSS e IR'!$E$5,$N118*'Tabelas INSS e IR'!$D$4)))))</f>
        <v>0</v>
      </c>
      <c r="S118" s="132"/>
      <c r="T118" s="294">
        <f>(IF(OR($G118="EST",$G118="EFE"),0,IF((Q118+S118)&gt;'Tabelas INSS e IR'!$D$8,'Tabelas INSS e IR'!$D$8-(S118+R118),(Q118-R118))))</f>
        <v>0</v>
      </c>
      <c r="U118" s="171">
        <v>0</v>
      </c>
      <c r="V118" s="143"/>
      <c r="W118" s="247">
        <f t="shared" si="29"/>
        <v>0</v>
      </c>
      <c r="X118" s="291">
        <f t="shared" si="30"/>
        <v>0</v>
      </c>
      <c r="Y118" s="133">
        <f t="shared" si="31"/>
        <v>0</v>
      </c>
      <c r="Z118" s="133">
        <f>IF($Y118&lt;'Tabelas INSS e IR'!$H$5,0,IF($Y118&lt;'Tabelas INSS e IR'!$H$6,($Y118*'Tabelas INSS e IR'!$J$5)-'Tabelas INSS e IR'!$K$5,IF($Y118&lt;'Tabelas INSS e IR'!$H$7,($Y118*'Tabelas INSS e IR'!$J$6)-'Tabelas INSS e IR'!$K$6,IF($Y118&lt;'Tabelas INSS e IR'!$H$8,($Y118*'Tabelas INSS e IR'!$J$7)-'Tabelas INSS e IR'!$K$7,($Y118*'Tabelas INSS e IR'!$J$8)-'Tabelas INSS e IR'!$K$8))))</f>
        <v>0</v>
      </c>
      <c r="AA118" s="133">
        <f>IF($W118&lt;'Tabelas INSS e IR'!$H$5,0,IF($W118&lt;'Tabelas INSS e IR'!$H$6,($W118*'Tabelas INSS e IR'!$J$5)-'Tabelas INSS e IR'!$K$5,IF($W118&lt;'Tabelas INSS e IR'!$H$7,($W118*'Tabelas INSS e IR'!$J$6)-'Tabelas INSS e IR'!$K$6,IF($W118&lt;'Tabelas INSS e IR'!$H$8,($W118*'Tabelas INSS e IR'!$J$7)-'Tabelas INSS e IR'!$K$7,($W118*'Tabelas INSS e IR'!$J$8)-'Tabelas INSS e IR'!$K$8))))</f>
        <v>0</v>
      </c>
      <c r="AB118" s="294">
        <f t="shared" si="32"/>
        <v>0</v>
      </c>
      <c r="AC118" s="138"/>
      <c r="AD118" s="137"/>
      <c r="AE118" s="139"/>
      <c r="AF118" s="297">
        <f t="shared" si="33"/>
        <v>0</v>
      </c>
      <c r="AG118" s="297">
        <f t="shared" si="34"/>
        <v>0</v>
      </c>
    </row>
    <row r="119" spans="1:33" s="468" customFormat="1" ht="15" customHeight="1" x14ac:dyDescent="0.25">
      <c r="A119" s="103">
        <v>111</v>
      </c>
      <c r="B119" s="278"/>
      <c r="C119" s="135"/>
      <c r="D119" s="104"/>
      <c r="E119" s="104"/>
      <c r="F119" s="104"/>
      <c r="G119" s="104"/>
      <c r="H119" s="136"/>
      <c r="I119" s="148"/>
      <c r="J119" s="104"/>
      <c r="K119" s="104"/>
      <c r="L119" s="246"/>
      <c r="M119" s="132">
        <f t="shared" si="26"/>
        <v>0</v>
      </c>
      <c r="N119" s="141">
        <v>0</v>
      </c>
      <c r="O119" s="133">
        <f t="shared" si="27"/>
        <v>0</v>
      </c>
      <c r="P119" s="293">
        <f t="shared" si="28"/>
        <v>0</v>
      </c>
      <c r="Q119" s="133">
        <f>IF(OR($G119="EST",$G119="EFE"),0,IF($P119&gt;='Tabelas INSS e IR'!$B$8,'Tabelas INSS e IR'!$D$8,IF($P119&gt;='Tabelas INSS e IR'!$B$7,($P119*'Tabelas INSS e IR'!$D$7)-'Tabelas INSS e IR'!$E$7,IF($P119&gt;='Tabelas INSS e IR'!$B$6,($P119*'Tabelas INSS e IR'!$D$6)-'Tabelas INSS e IR'!$E$6,IF($P119&gt;='Tabelas INSS e IR'!$B$5,($P119*'Tabelas INSS e IR'!$D$5)-'Tabelas INSS e IR'!$E$5,$P119*'Tabelas INSS e IR'!$D$4)))))</f>
        <v>0</v>
      </c>
      <c r="R119" s="133">
        <f>IF(OR($G119="EST",$G119="EFE"),0,IF($N119&gt;='Tabelas INSS e IR'!$B$8,'Tabelas INSS e IR'!$D$8,IF($N119&gt;='Tabelas INSS e IR'!$B$7,($N119*'Tabelas INSS e IR'!$D$7)-'Tabelas INSS e IR'!$E$7,IF($N119&gt;='Tabelas INSS e IR'!$B$6,($N119*'Tabelas INSS e IR'!$D$6)-'Tabelas INSS e IR'!$E$6,IF($N119&gt;='Tabelas INSS e IR'!$B$5,($N119*'Tabelas INSS e IR'!$D$5)-'Tabelas INSS e IR'!$E$5,$N119*'Tabelas INSS e IR'!$D$4)))))</f>
        <v>0</v>
      </c>
      <c r="S119" s="132"/>
      <c r="T119" s="294">
        <f>(IF(OR($G119="EST",$G119="EFE"),0,IF((Q119+S119)&gt;'Tabelas INSS e IR'!$D$8,'Tabelas INSS e IR'!$D$8-(S119+R119),(Q119-R119))))</f>
        <v>0</v>
      </c>
      <c r="U119" s="171">
        <v>0</v>
      </c>
      <c r="V119" s="143"/>
      <c r="W119" s="247">
        <f t="shared" si="29"/>
        <v>0</v>
      </c>
      <c r="X119" s="291">
        <f t="shared" si="30"/>
        <v>0</v>
      </c>
      <c r="Y119" s="133">
        <f t="shared" si="31"/>
        <v>0</v>
      </c>
      <c r="Z119" s="133">
        <f>IF($Y119&lt;'Tabelas INSS e IR'!$H$5,0,IF($Y119&lt;'Tabelas INSS e IR'!$H$6,($Y119*'Tabelas INSS e IR'!$J$5)-'Tabelas INSS e IR'!$K$5,IF($Y119&lt;'Tabelas INSS e IR'!$H$7,($Y119*'Tabelas INSS e IR'!$J$6)-'Tabelas INSS e IR'!$K$6,IF($Y119&lt;'Tabelas INSS e IR'!$H$8,($Y119*'Tabelas INSS e IR'!$J$7)-'Tabelas INSS e IR'!$K$7,($Y119*'Tabelas INSS e IR'!$J$8)-'Tabelas INSS e IR'!$K$8))))</f>
        <v>0</v>
      </c>
      <c r="AA119" s="133">
        <f>IF($W119&lt;'Tabelas INSS e IR'!$H$5,0,IF($W119&lt;'Tabelas INSS e IR'!$H$6,($W119*'Tabelas INSS e IR'!$J$5)-'Tabelas INSS e IR'!$K$5,IF($W119&lt;'Tabelas INSS e IR'!$H$7,($W119*'Tabelas INSS e IR'!$J$6)-'Tabelas INSS e IR'!$K$6,IF($W119&lt;'Tabelas INSS e IR'!$H$8,($W119*'Tabelas INSS e IR'!$J$7)-'Tabelas INSS e IR'!$K$7,($W119*'Tabelas INSS e IR'!$J$8)-'Tabelas INSS e IR'!$K$8))))</f>
        <v>0</v>
      </c>
      <c r="AB119" s="294">
        <f t="shared" si="32"/>
        <v>0</v>
      </c>
      <c r="AC119" s="138"/>
      <c r="AD119" s="137"/>
      <c r="AE119" s="139"/>
      <c r="AF119" s="297">
        <f t="shared" si="33"/>
        <v>0</v>
      </c>
      <c r="AG119" s="297">
        <f t="shared" si="34"/>
        <v>0</v>
      </c>
    </row>
    <row r="120" spans="1:33" s="468" customFormat="1" ht="15" customHeight="1" x14ac:dyDescent="0.25">
      <c r="A120" s="103">
        <v>112</v>
      </c>
      <c r="B120" s="278"/>
      <c r="C120" s="135"/>
      <c r="D120" s="104"/>
      <c r="E120" s="104"/>
      <c r="F120" s="104"/>
      <c r="G120" s="104"/>
      <c r="H120" s="136"/>
      <c r="I120" s="148"/>
      <c r="J120" s="104"/>
      <c r="K120" s="104"/>
      <c r="L120" s="246"/>
      <c r="M120" s="132">
        <f t="shared" si="26"/>
        <v>0</v>
      </c>
      <c r="N120" s="141">
        <v>0</v>
      </c>
      <c r="O120" s="133">
        <f t="shared" si="27"/>
        <v>0</v>
      </c>
      <c r="P120" s="293">
        <f t="shared" si="28"/>
        <v>0</v>
      </c>
      <c r="Q120" s="133">
        <f>IF(OR($G120="EST",$G120="EFE"),0,IF($P120&gt;='Tabelas INSS e IR'!$B$8,'Tabelas INSS e IR'!$D$8,IF($P120&gt;='Tabelas INSS e IR'!$B$7,($P120*'Tabelas INSS e IR'!$D$7)-'Tabelas INSS e IR'!$E$7,IF($P120&gt;='Tabelas INSS e IR'!$B$6,($P120*'Tabelas INSS e IR'!$D$6)-'Tabelas INSS e IR'!$E$6,IF($P120&gt;='Tabelas INSS e IR'!$B$5,($P120*'Tabelas INSS e IR'!$D$5)-'Tabelas INSS e IR'!$E$5,$P120*'Tabelas INSS e IR'!$D$4)))))</f>
        <v>0</v>
      </c>
      <c r="R120" s="133">
        <f>IF(OR($G120="EST",$G120="EFE"),0,IF($N120&gt;='Tabelas INSS e IR'!$B$8,'Tabelas INSS e IR'!$D$8,IF($N120&gt;='Tabelas INSS e IR'!$B$7,($N120*'Tabelas INSS e IR'!$D$7)-'Tabelas INSS e IR'!$E$7,IF($N120&gt;='Tabelas INSS e IR'!$B$6,($N120*'Tabelas INSS e IR'!$D$6)-'Tabelas INSS e IR'!$E$6,IF($N120&gt;='Tabelas INSS e IR'!$B$5,($N120*'Tabelas INSS e IR'!$D$5)-'Tabelas INSS e IR'!$E$5,$N120*'Tabelas INSS e IR'!$D$4)))))</f>
        <v>0</v>
      </c>
      <c r="S120" s="132"/>
      <c r="T120" s="294">
        <f>(IF(OR($G120="EST",$G120="EFE"),0,IF((Q120+S120)&gt;'Tabelas INSS e IR'!$D$8,'Tabelas INSS e IR'!$D$8-(S120+R120),(Q120-R120))))</f>
        <v>0</v>
      </c>
      <c r="U120" s="171">
        <v>0</v>
      </c>
      <c r="V120" s="143"/>
      <c r="W120" s="247">
        <f t="shared" si="29"/>
        <v>0</v>
      </c>
      <c r="X120" s="291">
        <f t="shared" si="30"/>
        <v>0</v>
      </c>
      <c r="Y120" s="133">
        <f t="shared" si="31"/>
        <v>0</v>
      </c>
      <c r="Z120" s="133">
        <f>IF($Y120&lt;'Tabelas INSS e IR'!$H$5,0,IF($Y120&lt;'Tabelas INSS e IR'!$H$6,($Y120*'Tabelas INSS e IR'!$J$5)-'Tabelas INSS e IR'!$K$5,IF($Y120&lt;'Tabelas INSS e IR'!$H$7,($Y120*'Tabelas INSS e IR'!$J$6)-'Tabelas INSS e IR'!$K$6,IF($Y120&lt;'Tabelas INSS e IR'!$H$8,($Y120*'Tabelas INSS e IR'!$J$7)-'Tabelas INSS e IR'!$K$7,($Y120*'Tabelas INSS e IR'!$J$8)-'Tabelas INSS e IR'!$K$8))))</f>
        <v>0</v>
      </c>
      <c r="AA120" s="133">
        <f>IF($W120&lt;'Tabelas INSS e IR'!$H$5,0,IF($W120&lt;'Tabelas INSS e IR'!$H$6,($W120*'Tabelas INSS e IR'!$J$5)-'Tabelas INSS e IR'!$K$5,IF($W120&lt;'Tabelas INSS e IR'!$H$7,($W120*'Tabelas INSS e IR'!$J$6)-'Tabelas INSS e IR'!$K$6,IF($W120&lt;'Tabelas INSS e IR'!$H$8,($W120*'Tabelas INSS e IR'!$J$7)-'Tabelas INSS e IR'!$K$7,($W120*'Tabelas INSS e IR'!$J$8)-'Tabelas INSS e IR'!$K$8))))</f>
        <v>0</v>
      </c>
      <c r="AB120" s="294">
        <f t="shared" si="32"/>
        <v>0</v>
      </c>
      <c r="AC120" s="138"/>
      <c r="AD120" s="137"/>
      <c r="AE120" s="139"/>
      <c r="AF120" s="297">
        <f t="shared" si="33"/>
        <v>0</v>
      </c>
      <c r="AG120" s="297">
        <f t="shared" si="34"/>
        <v>0</v>
      </c>
    </row>
    <row r="121" spans="1:33" s="468" customFormat="1" ht="15" customHeight="1" x14ac:dyDescent="0.25">
      <c r="A121" s="103">
        <v>113</v>
      </c>
      <c r="B121" s="278"/>
      <c r="C121" s="135"/>
      <c r="D121" s="104"/>
      <c r="E121" s="104"/>
      <c r="F121" s="104"/>
      <c r="G121" s="104"/>
      <c r="H121" s="136"/>
      <c r="I121" s="148"/>
      <c r="J121" s="104"/>
      <c r="K121" s="104"/>
      <c r="L121" s="246"/>
      <c r="M121" s="132">
        <f t="shared" si="26"/>
        <v>0</v>
      </c>
      <c r="N121" s="141">
        <v>0</v>
      </c>
      <c r="O121" s="133">
        <f t="shared" si="27"/>
        <v>0</v>
      </c>
      <c r="P121" s="293">
        <f t="shared" si="28"/>
        <v>0</v>
      </c>
      <c r="Q121" s="133">
        <f>IF(OR($G121="EST",$G121="EFE"),0,IF($P121&gt;='Tabelas INSS e IR'!$B$8,'Tabelas INSS e IR'!$D$8,IF($P121&gt;='Tabelas INSS e IR'!$B$7,($P121*'Tabelas INSS e IR'!$D$7)-'Tabelas INSS e IR'!$E$7,IF($P121&gt;='Tabelas INSS e IR'!$B$6,($P121*'Tabelas INSS e IR'!$D$6)-'Tabelas INSS e IR'!$E$6,IF($P121&gt;='Tabelas INSS e IR'!$B$5,($P121*'Tabelas INSS e IR'!$D$5)-'Tabelas INSS e IR'!$E$5,$P121*'Tabelas INSS e IR'!$D$4)))))</f>
        <v>0</v>
      </c>
      <c r="R121" s="133">
        <f>IF(OR($G121="EST",$G121="EFE"),0,IF($N121&gt;='Tabelas INSS e IR'!$B$8,'Tabelas INSS e IR'!$D$8,IF($N121&gt;='Tabelas INSS e IR'!$B$7,($N121*'Tabelas INSS e IR'!$D$7)-'Tabelas INSS e IR'!$E$7,IF($N121&gt;='Tabelas INSS e IR'!$B$6,($N121*'Tabelas INSS e IR'!$D$6)-'Tabelas INSS e IR'!$E$6,IF($N121&gt;='Tabelas INSS e IR'!$B$5,($N121*'Tabelas INSS e IR'!$D$5)-'Tabelas INSS e IR'!$E$5,$N121*'Tabelas INSS e IR'!$D$4)))))</f>
        <v>0</v>
      </c>
      <c r="S121" s="132"/>
      <c r="T121" s="294">
        <f>(IF(OR($G121="EST",$G121="EFE"),0,IF((Q121+S121)&gt;'Tabelas INSS e IR'!$D$8,'Tabelas INSS e IR'!$D$8-(S121+R121),(Q121-R121))))</f>
        <v>0</v>
      </c>
      <c r="U121" s="171">
        <v>0</v>
      </c>
      <c r="V121" s="143"/>
      <c r="W121" s="247">
        <f t="shared" si="29"/>
        <v>0</v>
      </c>
      <c r="X121" s="291">
        <f t="shared" si="30"/>
        <v>0</v>
      </c>
      <c r="Y121" s="133">
        <f t="shared" si="31"/>
        <v>0</v>
      </c>
      <c r="Z121" s="133">
        <f>IF($Y121&lt;'Tabelas INSS e IR'!$H$5,0,IF($Y121&lt;'Tabelas INSS e IR'!$H$6,($Y121*'Tabelas INSS e IR'!$J$5)-'Tabelas INSS e IR'!$K$5,IF($Y121&lt;'Tabelas INSS e IR'!$H$7,($Y121*'Tabelas INSS e IR'!$J$6)-'Tabelas INSS e IR'!$K$6,IF($Y121&lt;'Tabelas INSS e IR'!$H$8,($Y121*'Tabelas INSS e IR'!$J$7)-'Tabelas INSS e IR'!$K$7,($Y121*'Tabelas INSS e IR'!$J$8)-'Tabelas INSS e IR'!$K$8))))</f>
        <v>0</v>
      </c>
      <c r="AA121" s="133">
        <f>IF($W121&lt;'Tabelas INSS e IR'!$H$5,0,IF($W121&lt;'Tabelas INSS e IR'!$H$6,($W121*'Tabelas INSS e IR'!$J$5)-'Tabelas INSS e IR'!$K$5,IF($W121&lt;'Tabelas INSS e IR'!$H$7,($W121*'Tabelas INSS e IR'!$J$6)-'Tabelas INSS e IR'!$K$6,IF($W121&lt;'Tabelas INSS e IR'!$H$8,($W121*'Tabelas INSS e IR'!$J$7)-'Tabelas INSS e IR'!$K$7,($W121*'Tabelas INSS e IR'!$J$8)-'Tabelas INSS e IR'!$K$8))))</f>
        <v>0</v>
      </c>
      <c r="AB121" s="294">
        <f t="shared" si="32"/>
        <v>0</v>
      </c>
      <c r="AC121" s="138"/>
      <c r="AD121" s="137"/>
      <c r="AE121" s="139"/>
      <c r="AF121" s="297">
        <f t="shared" si="33"/>
        <v>0</v>
      </c>
      <c r="AG121" s="297">
        <f t="shared" si="34"/>
        <v>0</v>
      </c>
    </row>
    <row r="122" spans="1:33" s="468" customFormat="1" ht="15" customHeight="1" x14ac:dyDescent="0.25">
      <c r="A122" s="103">
        <v>114</v>
      </c>
      <c r="B122" s="278"/>
      <c r="C122" s="135"/>
      <c r="D122" s="104"/>
      <c r="E122" s="104"/>
      <c r="F122" s="104"/>
      <c r="G122" s="104"/>
      <c r="H122" s="136"/>
      <c r="I122" s="148"/>
      <c r="J122" s="104"/>
      <c r="K122" s="104"/>
      <c r="L122" s="246"/>
      <c r="M122" s="132">
        <f t="shared" si="26"/>
        <v>0</v>
      </c>
      <c r="N122" s="141">
        <v>0</v>
      </c>
      <c r="O122" s="133">
        <f t="shared" si="27"/>
        <v>0</v>
      </c>
      <c r="P122" s="293">
        <f t="shared" si="28"/>
        <v>0</v>
      </c>
      <c r="Q122" s="133">
        <f>IF(OR($G122="EST",$G122="EFE"),0,IF($P122&gt;='Tabelas INSS e IR'!$B$8,'Tabelas INSS e IR'!$D$8,IF($P122&gt;='Tabelas INSS e IR'!$B$7,($P122*'Tabelas INSS e IR'!$D$7)-'Tabelas INSS e IR'!$E$7,IF($P122&gt;='Tabelas INSS e IR'!$B$6,($P122*'Tabelas INSS e IR'!$D$6)-'Tabelas INSS e IR'!$E$6,IF($P122&gt;='Tabelas INSS e IR'!$B$5,($P122*'Tabelas INSS e IR'!$D$5)-'Tabelas INSS e IR'!$E$5,$P122*'Tabelas INSS e IR'!$D$4)))))</f>
        <v>0</v>
      </c>
      <c r="R122" s="133">
        <f>IF(OR($G122="EST",$G122="EFE"),0,IF($N122&gt;='Tabelas INSS e IR'!$B$8,'Tabelas INSS e IR'!$D$8,IF($N122&gt;='Tabelas INSS e IR'!$B$7,($N122*'Tabelas INSS e IR'!$D$7)-'Tabelas INSS e IR'!$E$7,IF($N122&gt;='Tabelas INSS e IR'!$B$6,($N122*'Tabelas INSS e IR'!$D$6)-'Tabelas INSS e IR'!$E$6,IF($N122&gt;='Tabelas INSS e IR'!$B$5,($N122*'Tabelas INSS e IR'!$D$5)-'Tabelas INSS e IR'!$E$5,$N122*'Tabelas INSS e IR'!$D$4)))))</f>
        <v>0</v>
      </c>
      <c r="S122" s="132"/>
      <c r="T122" s="294">
        <f>(IF(OR($G122="EST",$G122="EFE"),0,IF((Q122+S122)&gt;'Tabelas INSS e IR'!$D$8,'Tabelas INSS e IR'!$D$8-(S122+R122),(Q122-R122))))</f>
        <v>0</v>
      </c>
      <c r="U122" s="171">
        <v>0</v>
      </c>
      <c r="V122" s="143"/>
      <c r="W122" s="247">
        <f t="shared" si="29"/>
        <v>0</v>
      </c>
      <c r="X122" s="291">
        <f t="shared" si="30"/>
        <v>0</v>
      </c>
      <c r="Y122" s="133">
        <f t="shared" si="31"/>
        <v>0</v>
      </c>
      <c r="Z122" s="133">
        <f>IF($Y122&lt;'Tabelas INSS e IR'!$H$5,0,IF($Y122&lt;'Tabelas INSS e IR'!$H$6,($Y122*'Tabelas INSS e IR'!$J$5)-'Tabelas INSS e IR'!$K$5,IF($Y122&lt;'Tabelas INSS e IR'!$H$7,($Y122*'Tabelas INSS e IR'!$J$6)-'Tabelas INSS e IR'!$K$6,IF($Y122&lt;'Tabelas INSS e IR'!$H$8,($Y122*'Tabelas INSS e IR'!$J$7)-'Tabelas INSS e IR'!$K$7,($Y122*'Tabelas INSS e IR'!$J$8)-'Tabelas INSS e IR'!$K$8))))</f>
        <v>0</v>
      </c>
      <c r="AA122" s="133">
        <f>IF($W122&lt;'Tabelas INSS e IR'!$H$5,0,IF($W122&lt;'Tabelas INSS e IR'!$H$6,($W122*'Tabelas INSS e IR'!$J$5)-'Tabelas INSS e IR'!$K$5,IF($W122&lt;'Tabelas INSS e IR'!$H$7,($W122*'Tabelas INSS e IR'!$J$6)-'Tabelas INSS e IR'!$K$6,IF($W122&lt;'Tabelas INSS e IR'!$H$8,($W122*'Tabelas INSS e IR'!$J$7)-'Tabelas INSS e IR'!$K$7,($W122*'Tabelas INSS e IR'!$J$8)-'Tabelas INSS e IR'!$K$8))))</f>
        <v>0</v>
      </c>
      <c r="AB122" s="294">
        <f t="shared" si="32"/>
        <v>0</v>
      </c>
      <c r="AC122" s="138"/>
      <c r="AD122" s="137"/>
      <c r="AE122" s="139"/>
      <c r="AF122" s="297">
        <f t="shared" si="33"/>
        <v>0</v>
      </c>
      <c r="AG122" s="297">
        <f t="shared" si="34"/>
        <v>0</v>
      </c>
    </row>
    <row r="123" spans="1:33" s="468" customFormat="1" ht="15" customHeight="1" x14ac:dyDescent="0.25">
      <c r="A123" s="103">
        <v>115</v>
      </c>
      <c r="B123" s="278"/>
      <c r="C123" s="135"/>
      <c r="D123" s="104"/>
      <c r="E123" s="104"/>
      <c r="F123" s="104"/>
      <c r="G123" s="104"/>
      <c r="H123" s="136"/>
      <c r="I123" s="148"/>
      <c r="J123" s="104"/>
      <c r="K123" s="104"/>
      <c r="L123" s="246"/>
      <c r="M123" s="132">
        <f>$I$10*L123%</f>
        <v>0</v>
      </c>
      <c r="N123" s="141">
        <v>0</v>
      </c>
      <c r="O123" s="133">
        <f t="shared" si="27"/>
        <v>0</v>
      </c>
      <c r="P123" s="293">
        <f t="shared" si="28"/>
        <v>0</v>
      </c>
      <c r="Q123" s="133">
        <f>IF(OR($G123="EST",$G123="EFE"),0,IF($P123&gt;='Tabelas INSS e IR'!$B$8,'Tabelas INSS e IR'!$D$8,IF($P123&gt;='Tabelas INSS e IR'!$B$7,($P123*'Tabelas INSS e IR'!$D$7)-'Tabelas INSS e IR'!$E$7,IF($P123&gt;='Tabelas INSS e IR'!$B$6,($P123*'Tabelas INSS e IR'!$D$6)-'Tabelas INSS e IR'!$E$6,IF($P123&gt;='Tabelas INSS e IR'!$B$5,($P123*'Tabelas INSS e IR'!$D$5)-'Tabelas INSS e IR'!$E$5,$P123*'Tabelas INSS e IR'!$D$4)))))</f>
        <v>0</v>
      </c>
      <c r="R123" s="133">
        <f>IF(OR($G123="EST",$G123="EFE"),0,IF($N123&gt;='Tabelas INSS e IR'!$B$8,'Tabelas INSS e IR'!$D$8,IF($N123&gt;='Tabelas INSS e IR'!$B$7,($N123*'Tabelas INSS e IR'!$D$7)-'Tabelas INSS e IR'!$E$7,IF($N123&gt;='Tabelas INSS e IR'!$B$6,($N123*'Tabelas INSS e IR'!$D$6)-'Tabelas INSS e IR'!$E$6,IF($N123&gt;='Tabelas INSS e IR'!$B$5,($N123*'Tabelas INSS e IR'!$D$5)-'Tabelas INSS e IR'!$E$5,$N123*'Tabelas INSS e IR'!$D$4)))))</f>
        <v>0</v>
      </c>
      <c r="S123" s="132"/>
      <c r="T123" s="294">
        <f>(IF(OR($G123="EST",$G123="EFE"),0,IF((Q123+S123)&gt;'Tabelas INSS e IR'!$D$8,'Tabelas INSS e IR'!$D$8-(S123+R123),(Q123-R123))))</f>
        <v>0</v>
      </c>
      <c r="U123" s="171">
        <v>0</v>
      </c>
      <c r="V123" s="143"/>
      <c r="W123" s="247">
        <f t="shared" si="29"/>
        <v>0</v>
      </c>
      <c r="X123" s="291">
        <f t="shared" si="30"/>
        <v>0</v>
      </c>
      <c r="Y123" s="133">
        <f t="shared" si="31"/>
        <v>0</v>
      </c>
      <c r="Z123" s="133">
        <f>IF($Y123&lt;'Tabelas INSS e IR'!$H$5,0,IF($Y123&lt;'Tabelas INSS e IR'!$H$6,($Y123*'Tabelas INSS e IR'!$J$5)-'Tabelas INSS e IR'!$K$5,IF($Y123&lt;'Tabelas INSS e IR'!$H$7,($Y123*'Tabelas INSS e IR'!$J$6)-'Tabelas INSS e IR'!$K$6,IF($Y123&lt;'Tabelas INSS e IR'!$H$8,($Y123*'Tabelas INSS e IR'!$J$7)-'Tabelas INSS e IR'!$K$7,($Y123*'Tabelas INSS e IR'!$J$8)-'Tabelas INSS e IR'!$K$8))))</f>
        <v>0</v>
      </c>
      <c r="AA123" s="133">
        <f>IF($W123&lt;'Tabelas INSS e IR'!$H$5,0,IF($W123&lt;'Tabelas INSS e IR'!$H$6,($W123*'Tabelas INSS e IR'!$J$5)-'Tabelas INSS e IR'!$K$5,IF($W123&lt;'Tabelas INSS e IR'!$H$7,($W123*'Tabelas INSS e IR'!$J$6)-'Tabelas INSS e IR'!$K$6,IF($W123&lt;'Tabelas INSS e IR'!$H$8,($W123*'Tabelas INSS e IR'!$J$7)-'Tabelas INSS e IR'!$K$7,($W123*'Tabelas INSS e IR'!$J$8)-'Tabelas INSS e IR'!$K$8))))</f>
        <v>0</v>
      </c>
      <c r="AB123" s="294">
        <f t="shared" si="32"/>
        <v>0</v>
      </c>
      <c r="AC123" s="138"/>
      <c r="AD123" s="137"/>
      <c r="AE123" s="139"/>
      <c r="AF123" s="297">
        <f t="shared" si="33"/>
        <v>0</v>
      </c>
      <c r="AG123" s="297">
        <f t="shared" si="34"/>
        <v>0</v>
      </c>
    </row>
    <row r="124" spans="1:33" s="460" customFormat="1" ht="45" customHeight="1" x14ac:dyDescent="0.25">
      <c r="A124" s="173"/>
      <c r="B124" s="217" t="s">
        <v>457</v>
      </c>
      <c r="C124" s="112"/>
      <c r="D124" s="112"/>
      <c r="E124" s="112"/>
      <c r="F124" s="174"/>
      <c r="G124" s="174"/>
      <c r="H124" s="174"/>
      <c r="I124" s="174"/>
      <c r="J124" s="174"/>
      <c r="K124" s="175"/>
      <c r="L124" s="385">
        <f>SUM(L14:L123)</f>
        <v>97.24</v>
      </c>
      <c r="M124" s="385">
        <f t="shared" ref="M124:AG124" si="35">SUM(M14:M123)</f>
        <v>174692.15000000005</v>
      </c>
      <c r="N124" s="385">
        <f t="shared" si="35"/>
        <v>55605.36</v>
      </c>
      <c r="O124" s="385">
        <f t="shared" si="35"/>
        <v>174692.15000000005</v>
      </c>
      <c r="P124" s="385">
        <f t="shared" si="35"/>
        <v>230297.51000000007</v>
      </c>
      <c r="Q124" s="385">
        <f t="shared" si="35"/>
        <v>10835.557050000003</v>
      </c>
      <c r="R124" s="385">
        <f t="shared" si="35"/>
        <v>4268.9083999999993</v>
      </c>
      <c r="S124" s="385">
        <f t="shared" si="35"/>
        <v>0</v>
      </c>
      <c r="T124" s="385">
        <f t="shared" si="35"/>
        <v>6566.6486500000001</v>
      </c>
      <c r="U124" s="385">
        <f t="shared" si="35"/>
        <v>315149.02160000004</v>
      </c>
      <c r="V124" s="385">
        <f t="shared" si="35"/>
        <v>0</v>
      </c>
      <c r="W124" s="385">
        <f t="shared" si="35"/>
        <v>315149.02160000004</v>
      </c>
      <c r="X124" s="385">
        <f t="shared" si="35"/>
        <v>168125.50134999998</v>
      </c>
      <c r="Y124" s="385">
        <f t="shared" si="35"/>
        <v>483274.52295000007</v>
      </c>
      <c r="Z124" s="385">
        <f t="shared" si="35"/>
        <v>58544.77803000003</v>
      </c>
      <c r="AA124" s="385">
        <f t="shared" si="35"/>
        <v>30378.197875000005</v>
      </c>
      <c r="AB124" s="385">
        <f t="shared" si="35"/>
        <v>28166.580155</v>
      </c>
      <c r="AC124" s="385">
        <f t="shared" si="35"/>
        <v>330.18374999999992</v>
      </c>
      <c r="AD124" s="385">
        <f t="shared" si="35"/>
        <v>0</v>
      </c>
      <c r="AE124" s="385">
        <f t="shared" si="35"/>
        <v>0</v>
      </c>
      <c r="AF124" s="385">
        <f t="shared" si="35"/>
        <v>35063.412554999995</v>
      </c>
      <c r="AG124" s="385">
        <f t="shared" si="35"/>
        <v>139628.73744499998</v>
      </c>
    </row>
    <row r="125" spans="1:33" s="460" customFormat="1" ht="45" customHeight="1" x14ac:dyDescent="0.25">
      <c r="A125" s="113"/>
      <c r="B125" s="218"/>
      <c r="C125" s="113"/>
      <c r="D125" s="113"/>
      <c r="E125" s="113"/>
      <c r="F125" s="113"/>
      <c r="G125" s="113"/>
      <c r="H125" s="113"/>
      <c r="I125" s="113"/>
      <c r="J125" s="113"/>
      <c r="K125" s="176"/>
      <c r="L125" s="113"/>
      <c r="M125" s="177"/>
      <c r="N125" s="113"/>
      <c r="O125" s="113"/>
      <c r="P125" s="113"/>
      <c r="Q125" s="113"/>
      <c r="R125" s="113"/>
      <c r="S125" s="113"/>
      <c r="T125" s="545">
        <f>T124+R124+1368.68</f>
        <v>12204.23705</v>
      </c>
      <c r="U125" s="179"/>
      <c r="V125" s="179"/>
      <c r="W125" s="113"/>
      <c r="X125" s="113"/>
      <c r="Y125" s="113"/>
      <c r="Z125" s="113"/>
      <c r="AA125" s="113"/>
      <c r="AB125" s="178"/>
      <c r="AC125" s="178"/>
      <c r="AD125" s="113"/>
      <c r="AE125" s="113"/>
      <c r="AF125" s="113"/>
      <c r="AG125" s="113"/>
    </row>
    <row r="126" spans="1:33" s="460" customFormat="1" ht="45" customHeight="1" x14ac:dyDescent="0.25">
      <c r="A126" s="67"/>
      <c r="B126" s="219"/>
      <c r="C126" s="67"/>
      <c r="D126" s="67"/>
      <c r="E126" s="67"/>
      <c r="F126" s="67"/>
      <c r="G126" s="67"/>
      <c r="H126" s="67"/>
      <c r="I126" s="67"/>
      <c r="J126" s="67"/>
      <c r="K126" s="67"/>
      <c r="L126" s="180"/>
      <c r="M126" s="181"/>
      <c r="N126" s="182"/>
      <c r="O126" s="183"/>
      <c r="P126" s="183"/>
      <c r="Q126" s="183"/>
      <c r="R126" s="183"/>
      <c r="S126" s="183"/>
      <c r="T126" s="184"/>
      <c r="U126" s="185"/>
      <c r="V126" s="186"/>
      <c r="W126" s="185"/>
      <c r="X126" s="185"/>
      <c r="Y126" s="183"/>
      <c r="Z126" s="183"/>
      <c r="AA126" s="183"/>
      <c r="AB126" s="184"/>
      <c r="AC126" s="187"/>
      <c r="AD126" s="182"/>
      <c r="AE126" s="182"/>
      <c r="AF126" s="113"/>
      <c r="AG126" s="113"/>
    </row>
    <row r="127" spans="1:33" s="462" customFormat="1" ht="45" customHeight="1" x14ac:dyDescent="0.25">
      <c r="A127" s="67">
        <v>117</v>
      </c>
      <c r="B127" s="219" t="s">
        <v>458</v>
      </c>
      <c r="C127" s="67"/>
      <c r="D127" s="67"/>
      <c r="E127" s="67"/>
      <c r="F127" s="67" t="s">
        <v>459</v>
      </c>
      <c r="G127" s="67"/>
      <c r="H127" s="67"/>
      <c r="I127" s="67"/>
      <c r="J127" s="188">
        <v>2186</v>
      </c>
      <c r="K127" s="189" t="s">
        <v>460</v>
      </c>
      <c r="L127" s="180"/>
      <c r="M127" s="190">
        <f>AC76</f>
        <v>330.18374999999992</v>
      </c>
      <c r="N127" s="182"/>
      <c r="O127" s="183"/>
      <c r="P127" s="183">
        <f>N127+O127</f>
        <v>0</v>
      </c>
      <c r="Q127" s="183">
        <f>IF(OR($G127="EST",$G127="EFE"),0,IF($P127&gt;='Tabelas INSS e IR'!$B$7,'Tabelas INSS e IR'!$D$7,IF($P127&gt;='Tabelas INSS e IR'!$B$6,$P127*'Tabelas INSS e IR'!$D$6,IF($P127&gt;='Tabelas INSS e IR'!$B$5,$P127*'Tabelas INSS e IR'!$D$5,$P127*'Tabelas INSS e IR'!$D$4))))</f>
        <v>0</v>
      </c>
      <c r="R127" s="183">
        <f>IF(OR($G127="EST",$G127="EFE"),0,IF($N127&gt;='Tabelas INSS e IR'!$B$7,'Tabelas INSS e IR'!$D$7,IF($N127&gt;='Tabelas INSS e IR'!$B$6,$N127*'Tabelas INSS e IR'!$D$6,IF($N127&gt;='Tabelas INSS e IR'!$B$5,$N127*'Tabelas INSS e IR'!$D$5,$N127*'Tabelas INSS e IR'!$D$4))))</f>
        <v>0</v>
      </c>
      <c r="S127" s="183"/>
      <c r="T127" s="184" t="e">
        <f>IF(OR($G127="EST",$G127="EFE"),0,IF((Q127+#REF!)&gt;'Tabelas INSS e IR'!$D$7,'Tabelas INSS e IR'!$D$7-(#REF!+R127),(Q127-R127)))</f>
        <v>#REF!</v>
      </c>
      <c r="U127" s="185"/>
      <c r="V127" s="186"/>
      <c r="W127" s="185">
        <f>U127-V127</f>
        <v>0</v>
      </c>
      <c r="X127" s="185"/>
      <c r="Y127" s="183">
        <f>AC76</f>
        <v>330.18374999999992</v>
      </c>
      <c r="Z127" s="183">
        <f>IF($Y127&lt;'Tabelas INSS e IR'!$H$5,0,IF($Y127&lt;'Tabelas INSS e IR'!$H$6,($Y127*'Tabelas INSS e IR'!$J$5)-'Tabelas INSS e IR'!$K$5,IF($Y127&lt;'Tabelas INSS e IR'!$H$7,($Y127*'Tabelas INSS e IR'!$J$6)-'Tabelas INSS e IR'!$K$6,IF($Y127&lt;'Tabelas INSS e IR'!$H$8,($Y127*'Tabelas INSS e IR'!$J$7)-'Tabelas INSS e IR'!$K$7,($Y127*'Tabelas INSS e IR'!$J$8)-'Tabelas INSS e IR'!$K$8))))</f>
        <v>0</v>
      </c>
      <c r="AA127" s="183">
        <f>IF($W127&lt;'Tabelas INSS e IR'!$H$5,0,IF($W127&lt;'Tabelas INSS e IR'!$H$6,($W127*'Tabelas INSS e IR'!$J$5)-'Tabelas INSS e IR'!$K$5,IF($W127&lt;'Tabelas INSS e IR'!$H$7,($W127*'Tabelas INSS e IR'!$J$6)-'Tabelas INSS e IR'!$K$6,IF($W127&lt;'Tabelas INSS e IR'!$H$8,($W127*'Tabelas INSS e IR'!$J$7)-'Tabelas INSS e IR'!$K$7,($W127*'Tabelas INSS e IR'!$J$8)-'Tabelas INSS e IR'!$K$8))))</f>
        <v>0</v>
      </c>
      <c r="AB127" s="184">
        <f>Z127-AA127</f>
        <v>0</v>
      </c>
      <c r="AC127" s="187"/>
      <c r="AD127" s="182"/>
      <c r="AE127" s="182"/>
      <c r="AF127" s="140"/>
      <c r="AG127" s="140"/>
    </row>
    <row r="128" spans="1:33" s="462" customFormat="1" ht="45" customHeight="1" x14ac:dyDescent="0.25">
      <c r="A128" s="67">
        <v>118</v>
      </c>
      <c r="B128" s="219" t="s">
        <v>461</v>
      </c>
      <c r="C128" s="67"/>
      <c r="D128" s="67"/>
      <c r="E128" s="67"/>
      <c r="F128" s="67" t="s">
        <v>462</v>
      </c>
      <c r="G128" s="67" t="s">
        <v>463</v>
      </c>
      <c r="H128" s="67"/>
      <c r="I128" s="67"/>
      <c r="J128" s="67"/>
      <c r="K128" s="67"/>
      <c r="L128" s="191"/>
      <c r="M128" s="190"/>
      <c r="N128" s="182"/>
      <c r="O128" s="192"/>
      <c r="P128" s="183">
        <f>N128+O128</f>
        <v>0</v>
      </c>
      <c r="Q128" s="183">
        <f>IF(OR($G128="EST",$G128="EFE"),0,IF($P128&gt;='Tabelas INSS e IR'!$B$7,'Tabelas INSS e IR'!$D$7,IF($P128&gt;='Tabelas INSS e IR'!$B$6,$P128*'Tabelas INSS e IR'!$D$6,IF($P128&gt;='Tabelas INSS e IR'!$B$5,$P128*'Tabelas INSS e IR'!$D$5,$P128*'Tabelas INSS e IR'!$D$4))))</f>
        <v>0</v>
      </c>
      <c r="R128" s="183">
        <f>IF(OR($G128="EST",$G128="EFE"),0,IF($N128&gt;='Tabelas INSS e IR'!$B$7,'Tabelas INSS e IR'!$D$7,IF($N128&gt;='Tabelas INSS e IR'!$B$6,$N128*'Tabelas INSS e IR'!$D$6,IF($N128&gt;='Tabelas INSS e IR'!$B$5,$N128*'Tabelas INSS e IR'!$D$5,$N128*'Tabelas INSS e IR'!$D$4))))</f>
        <v>0</v>
      </c>
      <c r="S128" s="301"/>
      <c r="T128" s="184" t="e">
        <f>IF(OR($G128="EST",$G128="EFE"),0,IF((Q128+#REF!)&gt;'Tabelas INSS e IR'!$D$7,'Tabelas INSS e IR'!$D$7-(#REF!+R128),(Q128-R128)))</f>
        <v>#REF!</v>
      </c>
      <c r="U128" s="193"/>
      <c r="V128" s="194"/>
      <c r="W128" s="185">
        <f>U128-V128</f>
        <v>0</v>
      </c>
      <c r="X128" s="185"/>
      <c r="Y128" s="183" t="e">
        <f>W128+#REF!</f>
        <v>#REF!</v>
      </c>
      <c r="Z128" s="183" t="e">
        <f>IF($Y128&lt;'Tabelas INSS e IR'!$H$5,0,IF($Y128&lt;'Tabelas INSS e IR'!$H$6,($Y128*'Tabelas INSS e IR'!$J$5)-'Tabelas INSS e IR'!$K$5,IF($Y128&lt;'Tabelas INSS e IR'!$H$7,($Y128*'Tabelas INSS e IR'!$J$6)-'Tabelas INSS e IR'!$K$6,IF($Y128&lt;'Tabelas INSS e IR'!$H$8,($Y128*'Tabelas INSS e IR'!$J$7)-'Tabelas INSS e IR'!$K$7,($Y128*'Tabelas INSS e IR'!$J$8)-'Tabelas INSS e IR'!$K$8))))</f>
        <v>#REF!</v>
      </c>
      <c r="AA128" s="183">
        <f>IF($W128&lt;'Tabelas INSS e IR'!$H$5,0,IF($W128&lt;'Tabelas INSS e IR'!$H$6,($W128*'Tabelas INSS e IR'!$J$5)-'Tabelas INSS e IR'!$K$5,IF($W128&lt;'Tabelas INSS e IR'!$H$7,($W128*'Tabelas INSS e IR'!$J$6)-'Tabelas INSS e IR'!$K$6,IF($W128&lt;'Tabelas INSS e IR'!$H$8,($W128*'Tabelas INSS e IR'!$J$7)-'Tabelas INSS e IR'!$K$7,($W128*'Tabelas INSS e IR'!$J$8)-'Tabelas INSS e IR'!$K$8))))</f>
        <v>0</v>
      </c>
      <c r="AB128" s="184" t="e">
        <f>Z128-AA128</f>
        <v>#REF!</v>
      </c>
      <c r="AC128" s="195"/>
      <c r="AD128" s="196"/>
      <c r="AE128" s="197"/>
      <c r="AF128" s="140"/>
      <c r="AG128" s="140"/>
    </row>
    <row r="129" spans="1:33" s="462" customFormat="1" ht="45" customHeight="1" x14ac:dyDescent="0.25">
      <c r="A129" s="67">
        <v>119</v>
      </c>
      <c r="B129" s="219"/>
      <c r="C129" s="67"/>
      <c r="D129" s="67"/>
      <c r="E129" s="67"/>
      <c r="F129" s="67"/>
      <c r="G129" s="67"/>
      <c r="H129" s="67"/>
      <c r="I129" s="67"/>
      <c r="J129" s="188"/>
      <c r="K129" s="198"/>
      <c r="L129" s="199"/>
      <c r="M129" s="190"/>
      <c r="N129" s="200"/>
      <c r="O129" s="201"/>
      <c r="P129" s="183">
        <f>N129+O129</f>
        <v>0</v>
      </c>
      <c r="Q129" s="183">
        <f>IF(OR($G129="EST",$G129="EFE"),0,IF($P129&gt;='Tabelas INSS e IR'!$B$7,'Tabelas INSS e IR'!$D$7,IF($P129&gt;='Tabelas INSS e IR'!$B$6,$P129*'Tabelas INSS e IR'!$D$6,IF($P129&gt;='Tabelas INSS e IR'!$B$5,$P129*'Tabelas INSS e IR'!$D$5,$P129*'Tabelas INSS e IR'!$D$4))))</f>
        <v>0</v>
      </c>
      <c r="R129" s="183">
        <f>IF(OR($G129="EST",$G129="EFE"),0,IF($N129&gt;='Tabelas INSS e IR'!$B$7,'Tabelas INSS e IR'!$D$7,IF($N129&gt;='Tabelas INSS e IR'!$B$6,$N129*'Tabelas INSS e IR'!$D$6,IF($N129&gt;='Tabelas INSS e IR'!$B$5,$N129*'Tabelas INSS e IR'!$D$5,$N129*'Tabelas INSS e IR'!$D$4))))</f>
        <v>0</v>
      </c>
      <c r="S129" s="183"/>
      <c r="T129" s="184" t="e">
        <f>IF(OR($G129="EST",$G129="EFE"),0,IF((Q129+#REF!)&gt;'Tabelas INSS e IR'!$D$7,'Tabelas INSS e IR'!$D$7-(#REF!+R129),(Q129-R129)))</f>
        <v>#REF!</v>
      </c>
      <c r="U129" s="200"/>
      <c r="V129" s="200"/>
      <c r="W129" s="185">
        <f>U129-V129</f>
        <v>0</v>
      </c>
      <c r="X129" s="185"/>
      <c r="Y129" s="183" t="e">
        <f>W129+#REF!</f>
        <v>#REF!</v>
      </c>
      <c r="Z129" s="183" t="e">
        <f>IF($Y129&lt;'Tabelas INSS e IR'!$H$5,0,IF($Y129&lt;'Tabelas INSS e IR'!$H$6,($Y129*'Tabelas INSS e IR'!$J$5)-'Tabelas INSS e IR'!$K$5,IF($Y129&lt;'Tabelas INSS e IR'!$H$7,($Y129*'Tabelas INSS e IR'!$J$6)-'Tabelas INSS e IR'!$K$6,IF($Y129&lt;'Tabelas INSS e IR'!$H$8,($Y129*'Tabelas INSS e IR'!$J$7)-'Tabelas INSS e IR'!$K$7,($Y129*'Tabelas INSS e IR'!$J$8)-'Tabelas INSS e IR'!$K$8))))</f>
        <v>#REF!</v>
      </c>
      <c r="AA129" s="183">
        <f>IF($W129&lt;'Tabelas INSS e IR'!$H$5,0,IF($W129&lt;'Tabelas INSS e IR'!$H$6,($W129*'Tabelas INSS e IR'!$J$5)-'Tabelas INSS e IR'!$K$5,IF($W129&lt;'Tabelas INSS e IR'!$H$7,($W129*'Tabelas INSS e IR'!$J$6)-'Tabelas INSS e IR'!$K$6,IF($W129&lt;'Tabelas INSS e IR'!$H$8,($W129*'Tabelas INSS e IR'!$J$7)-'Tabelas INSS e IR'!$K$7,($W129*'Tabelas INSS e IR'!$J$8)-'Tabelas INSS e IR'!$K$8))))</f>
        <v>0</v>
      </c>
      <c r="AB129" s="184" t="e">
        <f>Z129-AA129</f>
        <v>#REF!</v>
      </c>
      <c r="AC129" s="202"/>
      <c r="AD129" s="200"/>
      <c r="AE129" s="200"/>
      <c r="AF129" s="140"/>
      <c r="AG129" s="140"/>
    </row>
    <row r="130" spans="1:33" s="462" customFormat="1" ht="45" customHeight="1" x14ac:dyDescent="0.25">
      <c r="A130" s="67">
        <v>120</v>
      </c>
      <c r="B130" s="219"/>
      <c r="C130" s="67"/>
      <c r="D130" s="67"/>
      <c r="E130" s="67"/>
      <c r="F130" s="67" t="s">
        <v>459</v>
      </c>
      <c r="G130" s="67"/>
      <c r="H130" s="203">
        <v>35138564</v>
      </c>
      <c r="I130" s="67" t="s">
        <v>464</v>
      </c>
      <c r="J130" s="67">
        <v>1500</v>
      </c>
      <c r="K130" s="198" t="s">
        <v>465</v>
      </c>
      <c r="L130" s="199"/>
      <c r="M130" s="190"/>
      <c r="N130" s="200"/>
      <c r="O130" s="201"/>
      <c r="P130" s="183">
        <f>N130+O130</f>
        <v>0</v>
      </c>
      <c r="Q130" s="183">
        <f>IF(OR($G130="EST",$G130="EFE"),0,IF($P130&gt;='Tabelas INSS e IR'!$B$7,'Tabelas INSS e IR'!$D$7,IF($P130&gt;='Tabelas INSS e IR'!$B$6,$P130*'Tabelas INSS e IR'!$D$6,IF($P130&gt;='Tabelas INSS e IR'!$B$5,$P130*'Tabelas INSS e IR'!$D$5,$P130*'Tabelas INSS e IR'!$D$4))))</f>
        <v>0</v>
      </c>
      <c r="R130" s="183">
        <f>IF(OR($G130="EST",$G130="EFE"),0,IF($N130&gt;='Tabelas INSS e IR'!$B$7,'Tabelas INSS e IR'!$D$7,IF($N130&gt;='Tabelas INSS e IR'!$B$6,$N130*'Tabelas INSS e IR'!$D$6,IF($N130&gt;='Tabelas INSS e IR'!$B$5,$N130*'Tabelas INSS e IR'!$D$5,$N130*'Tabelas INSS e IR'!$D$4))))</f>
        <v>0</v>
      </c>
      <c r="S130" s="183"/>
      <c r="T130" s="184" t="e">
        <f>IF(OR($G130="EST",$G130="EFE"),0,IF((Q130+#REF!)&gt;'Tabelas INSS e IR'!$D$7,'Tabelas INSS e IR'!$D$7-(#REF!+R130),(Q130-R130)))</f>
        <v>#REF!</v>
      </c>
      <c r="U130" s="200"/>
      <c r="V130" s="200"/>
      <c r="W130" s="185">
        <f>U130-V130</f>
        <v>0</v>
      </c>
      <c r="X130" s="185"/>
      <c r="Y130" s="183" t="e">
        <f>W130+#REF!</f>
        <v>#REF!</v>
      </c>
      <c r="Z130" s="183" t="e">
        <f>IF($Y130&lt;'Tabelas INSS e IR'!$H$5,0,IF($Y130&lt;'Tabelas INSS e IR'!$H$6,($Y130*'Tabelas INSS e IR'!$J$5)-'Tabelas INSS e IR'!$K$5,IF($Y130&lt;'Tabelas INSS e IR'!$H$7,($Y130*'Tabelas INSS e IR'!$J$6)-'Tabelas INSS e IR'!$K$6,IF($Y130&lt;'Tabelas INSS e IR'!$H$8,($Y130*'Tabelas INSS e IR'!$J$7)-'Tabelas INSS e IR'!$K$7,($Y130*'Tabelas INSS e IR'!$J$8)-'Tabelas INSS e IR'!$K$8))))</f>
        <v>#REF!</v>
      </c>
      <c r="AA130" s="183">
        <f>IF($W130&lt;'Tabelas INSS e IR'!$H$5,0,IF($W130&lt;'Tabelas INSS e IR'!$H$6,($W130*'Tabelas INSS e IR'!$J$5)-'Tabelas INSS e IR'!$K$5,IF($W130&lt;'Tabelas INSS e IR'!$H$7,($W130*'Tabelas INSS e IR'!$J$6)-'Tabelas INSS e IR'!$K$6,IF($W130&lt;'Tabelas INSS e IR'!$H$8,($W130*'Tabelas INSS e IR'!$J$7)-'Tabelas INSS e IR'!$K$7,($W130*'Tabelas INSS e IR'!$J$8)-'Tabelas INSS e IR'!$K$8))))</f>
        <v>0</v>
      </c>
      <c r="AB130" s="184" t="e">
        <f>Z130-AA130</f>
        <v>#REF!</v>
      </c>
      <c r="AC130" s="202"/>
      <c r="AD130" s="200"/>
      <c r="AE130" s="200"/>
      <c r="AF130" s="140"/>
      <c r="AG130" s="140"/>
    </row>
    <row r="131" spans="1:33" s="460" customFormat="1" ht="45" customHeight="1" x14ac:dyDescent="0.25">
      <c r="A131" s="583" t="s">
        <v>466</v>
      </c>
      <c r="B131" s="583"/>
      <c r="C131" s="583"/>
      <c r="D131" s="583"/>
      <c r="E131" s="583"/>
      <c r="F131" s="583"/>
      <c r="G131" s="583"/>
      <c r="H131" s="583"/>
      <c r="I131" s="583"/>
      <c r="J131" s="583"/>
      <c r="K131" s="583"/>
      <c r="L131" s="583"/>
      <c r="M131" s="583"/>
      <c r="N131" s="583"/>
      <c r="O131" s="583"/>
      <c r="P131" s="583"/>
      <c r="Q131" s="583"/>
      <c r="R131" s="583"/>
      <c r="S131" s="583"/>
      <c r="T131" s="583"/>
      <c r="U131" s="204"/>
      <c r="V131" s="204"/>
      <c r="W131" s="205"/>
      <c r="X131" s="205"/>
      <c r="Y131" s="205"/>
      <c r="Z131" s="206"/>
      <c r="AA131" s="206"/>
      <c r="AB131" s="207"/>
      <c r="AC131" s="207"/>
      <c r="AD131" s="206"/>
      <c r="AE131" s="206"/>
      <c r="AF131" s="113"/>
      <c r="AG131" s="113"/>
    </row>
    <row r="132" spans="1:33" s="460" customFormat="1" ht="45" customHeight="1" x14ac:dyDescent="0.25">
      <c r="A132" s="583"/>
      <c r="B132" s="583"/>
      <c r="C132" s="583"/>
      <c r="D132" s="583"/>
      <c r="E132" s="583"/>
      <c r="F132" s="583"/>
      <c r="G132" s="583"/>
      <c r="H132" s="583"/>
      <c r="I132" s="583"/>
      <c r="J132" s="583"/>
      <c r="K132" s="583"/>
      <c r="L132" s="583"/>
      <c r="M132" s="583"/>
      <c r="N132" s="583"/>
      <c r="O132" s="583"/>
      <c r="P132" s="583"/>
      <c r="Q132" s="583"/>
      <c r="R132" s="583"/>
      <c r="S132" s="583"/>
      <c r="T132" s="583"/>
      <c r="U132" s="204"/>
      <c r="V132" s="204"/>
      <c r="W132" s="205"/>
      <c r="X132" s="205"/>
      <c r="Y132" s="205"/>
      <c r="Z132" s="29"/>
      <c r="AA132" s="29"/>
      <c r="AB132" s="118"/>
      <c r="AC132" s="118"/>
      <c r="AD132" s="29"/>
      <c r="AE132" s="29"/>
      <c r="AF132" s="113"/>
      <c r="AG132" s="113"/>
    </row>
    <row r="133" spans="1:33" s="460" customFormat="1" ht="45" customHeight="1" x14ac:dyDescent="0.25">
      <c r="A133" s="29"/>
      <c r="B133" s="214"/>
      <c r="C133" s="29"/>
      <c r="D133" s="29"/>
      <c r="E133" s="29"/>
      <c r="F133" s="29"/>
      <c r="G133" s="29"/>
      <c r="H133" s="29"/>
      <c r="I133" s="29"/>
      <c r="J133" s="29"/>
      <c r="K133" s="126"/>
      <c r="L133" s="29"/>
      <c r="M133" s="29"/>
      <c r="N133" s="29"/>
      <c r="O133" s="29"/>
      <c r="P133" s="29"/>
      <c r="Q133" s="29"/>
      <c r="R133" s="29"/>
      <c r="S133" s="29"/>
      <c r="T133" s="118"/>
      <c r="U133" s="117"/>
      <c r="V133" s="117"/>
      <c r="W133" s="29"/>
      <c r="X133" s="29"/>
      <c r="Y133" s="29"/>
      <c r="Z133" s="29"/>
      <c r="AA133" s="29"/>
      <c r="AB133" s="118"/>
      <c r="AC133" s="118"/>
      <c r="AD133" s="29"/>
      <c r="AE133" s="29"/>
      <c r="AF133" s="113"/>
      <c r="AG133" s="113"/>
    </row>
    <row r="134" spans="1:33" s="460" customFormat="1" ht="45" customHeight="1" x14ac:dyDescent="0.25">
      <c r="A134" s="29"/>
      <c r="B134" s="214"/>
      <c r="C134" s="29"/>
      <c r="D134" s="29"/>
      <c r="E134" s="29"/>
      <c r="F134" s="29"/>
      <c r="G134" s="29"/>
      <c r="H134" s="29"/>
      <c r="I134" s="29"/>
      <c r="J134" s="29"/>
      <c r="K134" s="126"/>
      <c r="L134" s="29"/>
      <c r="M134" s="29"/>
      <c r="N134" s="29"/>
      <c r="O134" s="29"/>
      <c r="P134" s="29"/>
      <c r="Q134" s="29"/>
      <c r="R134" s="29"/>
      <c r="S134" s="29"/>
      <c r="T134" s="118"/>
      <c r="U134" s="117"/>
      <c r="V134" s="117"/>
      <c r="W134" s="29"/>
      <c r="X134" s="29"/>
      <c r="Y134" s="29"/>
      <c r="Z134" s="29"/>
      <c r="AA134" s="29"/>
      <c r="AB134" s="118"/>
      <c r="AC134" s="118"/>
      <c r="AD134" s="29"/>
      <c r="AE134" s="29"/>
      <c r="AF134" s="113"/>
      <c r="AG134" s="113"/>
    </row>
    <row r="135" spans="1:33" s="460" customFormat="1" ht="45" customHeight="1" x14ac:dyDescent="0.25">
      <c r="A135" s="113"/>
      <c r="B135" s="218"/>
      <c r="C135" s="113"/>
      <c r="D135" s="113"/>
      <c r="E135" s="113"/>
      <c r="F135" s="113"/>
      <c r="G135" s="113"/>
      <c r="H135" s="113"/>
      <c r="I135" s="113"/>
      <c r="J135" s="113"/>
      <c r="K135" s="176"/>
      <c r="L135" s="113"/>
      <c r="M135" s="113"/>
      <c r="N135" s="113"/>
      <c r="O135" s="113"/>
      <c r="P135" s="113"/>
      <c r="Q135" s="113"/>
      <c r="R135" s="113"/>
      <c r="S135" s="113"/>
      <c r="T135" s="178"/>
      <c r="U135" s="179"/>
      <c r="V135" s="179"/>
      <c r="W135" s="113"/>
      <c r="X135" s="113"/>
      <c r="Y135" s="113"/>
      <c r="Z135" s="113"/>
      <c r="AA135" s="113"/>
      <c r="AB135" s="178"/>
      <c r="AC135" s="178"/>
      <c r="AD135" s="113"/>
      <c r="AE135" s="113"/>
      <c r="AF135" s="113"/>
      <c r="AG135" s="113"/>
    </row>
    <row r="136" spans="1:33" s="460" customFormat="1" ht="45" customHeight="1" x14ac:dyDescent="0.25">
      <c r="A136" s="113"/>
      <c r="B136" s="218"/>
      <c r="C136" s="113"/>
      <c r="D136" s="113"/>
      <c r="E136" s="113"/>
      <c r="F136" s="113"/>
      <c r="G136" s="113"/>
      <c r="H136" s="113"/>
      <c r="I136" s="113"/>
      <c r="J136" s="113"/>
      <c r="K136" s="176"/>
      <c r="L136" s="113"/>
      <c r="M136" s="113"/>
      <c r="N136" s="113"/>
      <c r="O136" s="113"/>
      <c r="P136" s="113"/>
      <c r="Q136" s="113"/>
      <c r="R136" s="113"/>
      <c r="S136" s="113"/>
      <c r="T136" s="178"/>
      <c r="U136" s="179"/>
      <c r="V136" s="179"/>
      <c r="W136" s="113"/>
      <c r="X136" s="113"/>
      <c r="Y136" s="113"/>
      <c r="Z136" s="113"/>
      <c r="AA136" s="113"/>
      <c r="AB136" s="178"/>
      <c r="AC136" s="178"/>
      <c r="AD136" s="113"/>
      <c r="AE136" s="113"/>
      <c r="AF136" s="113"/>
      <c r="AG136" s="113"/>
    </row>
    <row r="137" spans="1:33" s="460" customFormat="1" ht="45" customHeight="1" x14ac:dyDescent="0.25">
      <c r="A137" s="113"/>
      <c r="B137" s="218"/>
      <c r="C137" s="113"/>
      <c r="D137" s="113"/>
      <c r="E137" s="113"/>
      <c r="F137" s="113"/>
      <c r="G137" s="113"/>
      <c r="H137" s="113"/>
      <c r="I137" s="113"/>
      <c r="J137" s="113"/>
      <c r="K137" s="176"/>
      <c r="L137" s="113"/>
      <c r="M137" s="113"/>
      <c r="N137" s="113"/>
      <c r="O137" s="113"/>
      <c r="P137" s="113"/>
      <c r="Q137" s="113"/>
      <c r="R137" s="113"/>
      <c r="S137" s="113"/>
      <c r="T137" s="178"/>
      <c r="U137" s="179"/>
      <c r="V137" s="179"/>
      <c r="W137" s="113"/>
      <c r="X137" s="113"/>
      <c r="Y137" s="113"/>
      <c r="Z137" s="113"/>
      <c r="AA137" s="113"/>
      <c r="AB137" s="178"/>
      <c r="AC137" s="178"/>
      <c r="AD137" s="113"/>
      <c r="AE137" s="113"/>
      <c r="AF137" s="113"/>
      <c r="AG137" s="113"/>
    </row>
    <row r="138" spans="1:33" s="460" customFormat="1" ht="45" customHeight="1" x14ac:dyDescent="0.25">
      <c r="A138" s="113"/>
      <c r="B138" s="218"/>
      <c r="C138" s="113"/>
      <c r="D138" s="113"/>
      <c r="E138" s="113"/>
      <c r="F138" s="113"/>
      <c r="G138" s="113"/>
      <c r="H138" s="113"/>
      <c r="I138" s="113"/>
      <c r="J138" s="113"/>
      <c r="K138" s="176"/>
      <c r="L138" s="113"/>
      <c r="M138" s="208"/>
      <c r="N138" s="113"/>
      <c r="O138" s="113"/>
      <c r="P138" s="113"/>
      <c r="Q138" s="113"/>
      <c r="R138" s="113"/>
      <c r="S138" s="113"/>
      <c r="T138" s="178"/>
      <c r="U138" s="179"/>
      <c r="V138" s="179"/>
      <c r="W138" s="113"/>
      <c r="X138" s="113"/>
      <c r="Y138" s="113"/>
      <c r="Z138" s="113"/>
      <c r="AA138" s="113"/>
      <c r="AB138" s="178"/>
      <c r="AC138" s="178"/>
      <c r="AD138" s="113"/>
      <c r="AE138" s="113"/>
      <c r="AF138" s="113"/>
      <c r="AG138" s="113"/>
    </row>
    <row r="139" spans="1:33" s="460" customFormat="1" ht="45" customHeight="1" x14ac:dyDescent="0.25">
      <c r="A139" s="113"/>
      <c r="B139" s="218"/>
      <c r="C139" s="113"/>
      <c r="D139" s="113"/>
      <c r="E139" s="113"/>
      <c r="F139" s="113"/>
      <c r="G139" s="113"/>
      <c r="H139" s="113"/>
      <c r="I139" s="113"/>
      <c r="J139" s="113"/>
      <c r="K139" s="176"/>
      <c r="L139" s="113"/>
      <c r="M139" s="209">
        <f>M124-AC124</f>
        <v>174361.96625000006</v>
      </c>
      <c r="N139" s="113"/>
      <c r="O139" s="208"/>
      <c r="P139" s="113"/>
      <c r="Q139" s="113"/>
      <c r="R139" s="113"/>
      <c r="S139" s="113"/>
      <c r="T139" s="178"/>
      <c r="U139" s="179"/>
      <c r="V139" s="178"/>
      <c r="W139" s="113"/>
      <c r="X139" s="113"/>
      <c r="Y139" s="113"/>
      <c r="Z139" s="113"/>
      <c r="AA139" s="113"/>
      <c r="AB139" s="178"/>
      <c r="AC139" s="178"/>
      <c r="AD139" s="113"/>
      <c r="AE139" s="113"/>
      <c r="AF139" s="113"/>
      <c r="AG139" s="113"/>
    </row>
    <row r="140" spans="1:33" s="460" customFormat="1" ht="45" customHeight="1" x14ac:dyDescent="0.25">
      <c r="A140" s="113"/>
      <c r="B140" s="218"/>
      <c r="C140" s="113"/>
      <c r="D140" s="113"/>
      <c r="E140" s="113"/>
      <c r="F140" s="113"/>
      <c r="G140" s="113"/>
      <c r="H140" s="113"/>
      <c r="I140" s="113"/>
      <c r="J140" s="113"/>
      <c r="K140" s="176"/>
      <c r="L140" s="113"/>
      <c r="M140" s="210"/>
      <c r="N140" s="113"/>
      <c r="O140" s="210"/>
      <c r="P140" s="113"/>
      <c r="Q140" s="208"/>
      <c r="R140" s="113"/>
      <c r="S140" s="113"/>
      <c r="T140" s="178"/>
      <c r="U140" s="179"/>
      <c r="V140" s="178"/>
      <c r="W140" s="113"/>
      <c r="X140" s="113"/>
      <c r="Y140" s="113"/>
      <c r="Z140" s="113"/>
      <c r="AA140" s="113"/>
      <c r="AB140" s="178"/>
      <c r="AC140" s="178"/>
      <c r="AD140" s="113"/>
      <c r="AE140" s="113"/>
      <c r="AF140" s="113"/>
      <c r="AG140" s="113"/>
    </row>
    <row r="141" spans="1:33" s="460" customFormat="1" ht="45" customHeight="1" x14ac:dyDescent="0.25">
      <c r="A141" s="113"/>
      <c r="B141" s="218"/>
      <c r="C141" s="113"/>
      <c r="D141" s="113"/>
      <c r="E141" s="113"/>
      <c r="F141" s="113"/>
      <c r="G141" s="113"/>
      <c r="H141" s="113"/>
      <c r="I141" s="113"/>
      <c r="J141" s="113"/>
      <c r="K141" s="176"/>
      <c r="L141" s="113"/>
      <c r="M141" s="113"/>
      <c r="N141" s="113"/>
      <c r="O141" s="113"/>
      <c r="P141" s="113"/>
      <c r="Q141" s="113"/>
      <c r="R141" s="113"/>
      <c r="S141" s="113"/>
      <c r="T141" s="178"/>
      <c r="U141" s="179"/>
      <c r="V141" s="178"/>
      <c r="W141" s="113"/>
      <c r="X141" s="113"/>
      <c r="Y141" s="113"/>
      <c r="Z141" s="113"/>
      <c r="AA141" s="113"/>
      <c r="AB141" s="178"/>
      <c r="AC141" s="178"/>
      <c r="AD141" s="113"/>
      <c r="AE141" s="113"/>
      <c r="AF141" s="113"/>
      <c r="AG141" s="113"/>
    </row>
    <row r="142" spans="1:33" s="460" customFormat="1" ht="45" customHeight="1" x14ac:dyDescent="0.25">
      <c r="A142" s="113"/>
      <c r="B142" s="218"/>
      <c r="C142" s="113"/>
      <c r="D142" s="113"/>
      <c r="E142" s="113"/>
      <c r="F142" s="113"/>
      <c r="G142" s="113"/>
      <c r="H142" s="113"/>
      <c r="I142" s="113"/>
      <c r="J142" s="113"/>
      <c r="K142" s="176"/>
      <c r="L142" s="113"/>
      <c r="M142" s="113"/>
      <c r="N142" s="113"/>
      <c r="O142" s="113"/>
      <c r="P142" s="113"/>
      <c r="Q142" s="113"/>
      <c r="R142" s="113"/>
      <c r="S142" s="113"/>
      <c r="T142" s="178"/>
      <c r="U142" s="179"/>
      <c r="V142" s="178"/>
      <c r="W142" s="113"/>
      <c r="X142" s="113"/>
      <c r="Y142" s="113"/>
      <c r="Z142" s="113"/>
      <c r="AA142" s="113"/>
      <c r="AB142" s="178"/>
      <c r="AC142" s="178"/>
      <c r="AD142" s="113"/>
      <c r="AE142" s="113"/>
      <c r="AF142" s="113"/>
      <c r="AG142" s="113"/>
    </row>
    <row r="143" spans="1:33" s="460" customFormat="1" ht="45" customHeight="1" x14ac:dyDescent="0.25">
      <c r="A143" s="113"/>
      <c r="B143" s="218"/>
      <c r="C143" s="113"/>
      <c r="D143" s="113"/>
      <c r="E143" s="113"/>
      <c r="F143" s="113"/>
      <c r="G143" s="113"/>
      <c r="H143" s="113"/>
      <c r="I143" s="113"/>
      <c r="J143" s="113"/>
      <c r="K143" s="176"/>
      <c r="L143" s="113"/>
      <c r="M143" s="113"/>
      <c r="N143" s="113"/>
      <c r="O143" s="113"/>
      <c r="P143" s="113"/>
      <c r="Q143" s="113"/>
      <c r="R143" s="113"/>
      <c r="S143" s="113"/>
      <c r="T143" s="178"/>
      <c r="U143" s="179"/>
      <c r="V143" s="178"/>
      <c r="W143" s="113"/>
      <c r="X143" s="113"/>
      <c r="Y143" s="113"/>
      <c r="Z143" s="113"/>
      <c r="AA143" s="113"/>
      <c r="AB143" s="178"/>
      <c r="AC143" s="178"/>
      <c r="AD143" s="113"/>
      <c r="AE143" s="113"/>
      <c r="AF143" s="113"/>
      <c r="AG143" s="113"/>
    </row>
    <row r="144" spans="1:33" s="460" customFormat="1" ht="45" customHeight="1" x14ac:dyDescent="0.25">
      <c r="A144" s="113"/>
      <c r="B144" s="218"/>
      <c r="C144" s="113"/>
      <c r="D144" s="113"/>
      <c r="E144" s="113"/>
      <c r="F144" s="113"/>
      <c r="G144" s="113"/>
      <c r="H144" s="113"/>
      <c r="I144" s="113"/>
      <c r="J144" s="113"/>
      <c r="K144" s="176"/>
      <c r="L144" s="113"/>
      <c r="M144" s="113"/>
      <c r="N144" s="113"/>
      <c r="O144" s="113"/>
      <c r="P144" s="113"/>
      <c r="Q144" s="113"/>
      <c r="R144" s="113"/>
      <c r="S144" s="113"/>
      <c r="T144" s="178"/>
      <c r="U144" s="179"/>
      <c r="V144" s="178"/>
      <c r="W144" s="113"/>
      <c r="X144" s="113"/>
      <c r="Y144" s="113"/>
      <c r="Z144" s="113"/>
      <c r="AA144" s="113"/>
      <c r="AB144" s="178"/>
      <c r="AC144" s="178"/>
      <c r="AD144" s="113"/>
      <c r="AE144" s="113"/>
      <c r="AF144" s="113"/>
      <c r="AG144" s="113"/>
    </row>
    <row r="145" spans="1:33" s="460" customFormat="1" ht="45" customHeight="1" x14ac:dyDescent="0.25">
      <c r="A145" s="113"/>
      <c r="B145" s="218"/>
      <c r="C145" s="113"/>
      <c r="D145" s="113"/>
      <c r="E145" s="113"/>
      <c r="F145" s="113"/>
      <c r="G145" s="113"/>
      <c r="H145" s="113"/>
      <c r="I145" s="113"/>
      <c r="J145" s="113"/>
      <c r="K145" s="176"/>
      <c r="L145" s="113"/>
      <c r="M145" s="113"/>
      <c r="N145" s="113"/>
      <c r="O145" s="113"/>
      <c r="P145" s="113"/>
      <c r="Q145" s="113"/>
      <c r="R145" s="113"/>
      <c r="S145" s="113"/>
      <c r="T145" s="178"/>
      <c r="U145" s="179"/>
      <c r="V145" s="178"/>
      <c r="W145" s="113"/>
      <c r="X145" s="113"/>
      <c r="Y145" s="113"/>
      <c r="Z145" s="113"/>
      <c r="AA145" s="113"/>
      <c r="AB145" s="178"/>
      <c r="AC145" s="178"/>
      <c r="AD145" s="113"/>
      <c r="AE145" s="113"/>
      <c r="AF145" s="113"/>
      <c r="AG145" s="113"/>
    </row>
    <row r="146" spans="1:33" s="460" customFormat="1" ht="45" customHeight="1" x14ac:dyDescent="0.25">
      <c r="A146" s="113"/>
      <c r="B146" s="218"/>
      <c r="C146" s="113"/>
      <c r="D146" s="113"/>
      <c r="E146" s="113"/>
      <c r="F146" s="113"/>
      <c r="G146" s="113"/>
      <c r="H146" s="113"/>
      <c r="I146" s="113"/>
      <c r="J146" s="113"/>
      <c r="K146" s="176"/>
      <c r="L146" s="113"/>
      <c r="M146" s="113"/>
      <c r="N146" s="113"/>
      <c r="O146" s="113"/>
      <c r="P146" s="113"/>
      <c r="Q146" s="113"/>
      <c r="R146" s="113"/>
      <c r="S146" s="113"/>
      <c r="T146" s="178"/>
      <c r="U146" s="179"/>
      <c r="V146" s="178"/>
      <c r="W146" s="113"/>
      <c r="X146" s="113"/>
      <c r="Y146" s="113"/>
      <c r="Z146" s="113"/>
      <c r="AA146" s="113"/>
      <c r="AB146" s="178"/>
      <c r="AC146" s="178"/>
      <c r="AD146" s="113"/>
      <c r="AE146" s="113"/>
      <c r="AF146" s="113"/>
      <c r="AG146" s="113"/>
    </row>
    <row r="147" spans="1:33" s="460" customFormat="1" ht="45" customHeight="1" x14ac:dyDescent="0.25">
      <c r="A147" s="113"/>
      <c r="B147" s="218"/>
      <c r="C147" s="113"/>
      <c r="D147" s="113"/>
      <c r="E147" s="113"/>
      <c r="F147" s="113"/>
      <c r="G147" s="113"/>
      <c r="H147" s="113"/>
      <c r="I147" s="113"/>
      <c r="J147" s="113"/>
      <c r="K147" s="176"/>
      <c r="L147" s="113"/>
      <c r="M147" s="113"/>
      <c r="N147" s="113"/>
      <c r="O147" s="113"/>
      <c r="P147" s="113"/>
      <c r="Q147" s="113"/>
      <c r="R147" s="113"/>
      <c r="S147" s="113"/>
      <c r="T147" s="178"/>
      <c r="U147" s="179"/>
      <c r="V147" s="178"/>
      <c r="W147" s="113"/>
      <c r="X147" s="113"/>
      <c r="Y147" s="113"/>
      <c r="Z147" s="113"/>
      <c r="AA147" s="113"/>
      <c r="AB147" s="178"/>
      <c r="AC147" s="178"/>
      <c r="AD147" s="113"/>
      <c r="AE147" s="113"/>
      <c r="AF147" s="113"/>
      <c r="AG147" s="113"/>
    </row>
    <row r="148" spans="1:33" s="460" customFormat="1" ht="45" customHeight="1" x14ac:dyDescent="0.25">
      <c r="A148" s="113"/>
      <c r="B148" s="218"/>
      <c r="C148" s="113"/>
      <c r="D148" s="113"/>
      <c r="E148" s="113"/>
      <c r="F148" s="113"/>
      <c r="G148" s="113"/>
      <c r="H148" s="113"/>
      <c r="I148" s="113"/>
      <c r="J148" s="113"/>
      <c r="K148" s="176"/>
      <c r="L148" s="113"/>
      <c r="M148" s="113"/>
      <c r="N148" s="113"/>
      <c r="O148" s="113"/>
      <c r="P148" s="113"/>
      <c r="Q148" s="113"/>
      <c r="R148" s="113"/>
      <c r="S148" s="113"/>
      <c r="T148" s="178"/>
      <c r="U148" s="179"/>
      <c r="V148" s="178"/>
      <c r="W148" s="113"/>
      <c r="X148" s="113"/>
      <c r="Y148" s="113"/>
      <c r="Z148" s="113"/>
      <c r="AA148" s="113"/>
      <c r="AB148" s="178"/>
      <c r="AC148" s="178"/>
      <c r="AD148" s="113"/>
      <c r="AE148" s="113"/>
      <c r="AF148" s="113"/>
      <c r="AG148" s="113"/>
    </row>
    <row r="149" spans="1:33" s="460" customFormat="1" ht="45" customHeight="1" x14ac:dyDescent="0.25">
      <c r="A149" s="113"/>
      <c r="B149" s="218"/>
      <c r="C149" s="113"/>
      <c r="D149" s="113"/>
      <c r="E149" s="113"/>
      <c r="F149" s="113"/>
      <c r="G149" s="113"/>
      <c r="H149" s="113"/>
      <c r="I149" s="113"/>
      <c r="J149" s="113"/>
      <c r="K149" s="176"/>
      <c r="L149" s="113"/>
      <c r="M149" s="113"/>
      <c r="N149" s="113"/>
      <c r="O149" s="113"/>
      <c r="P149" s="113"/>
      <c r="Q149" s="113"/>
      <c r="R149" s="113"/>
      <c r="S149" s="113"/>
      <c r="T149" s="178"/>
      <c r="U149" s="179"/>
      <c r="V149" s="178"/>
      <c r="W149" s="113"/>
      <c r="X149" s="113"/>
      <c r="Y149" s="113"/>
      <c r="Z149" s="113"/>
      <c r="AA149" s="113"/>
      <c r="AB149" s="178"/>
      <c r="AC149" s="178"/>
      <c r="AD149" s="113"/>
      <c r="AE149" s="113"/>
      <c r="AF149" s="113"/>
      <c r="AG149" s="113"/>
    </row>
    <row r="150" spans="1:33" s="460" customFormat="1" ht="45" customHeight="1" x14ac:dyDescent="0.25">
      <c r="A150" s="113"/>
      <c r="B150" s="218"/>
      <c r="C150" s="113"/>
      <c r="D150" s="113"/>
      <c r="E150" s="113"/>
      <c r="F150" s="113"/>
      <c r="G150" s="113"/>
      <c r="H150" s="113"/>
      <c r="I150" s="113"/>
      <c r="J150" s="113"/>
      <c r="K150" s="176"/>
      <c r="L150" s="113"/>
      <c r="M150" s="113"/>
      <c r="N150" s="113"/>
      <c r="O150" s="113"/>
      <c r="P150" s="113"/>
      <c r="Q150" s="113"/>
      <c r="R150" s="113"/>
      <c r="S150" s="113"/>
      <c r="T150" s="178"/>
      <c r="U150" s="179"/>
      <c r="V150" s="178"/>
      <c r="W150" s="113"/>
      <c r="X150" s="113"/>
      <c r="Y150" s="113"/>
      <c r="Z150" s="113"/>
      <c r="AA150" s="113"/>
      <c r="AB150" s="178"/>
      <c r="AC150" s="178"/>
      <c r="AD150" s="113"/>
      <c r="AE150" s="113"/>
      <c r="AF150" s="113"/>
      <c r="AG150" s="113"/>
    </row>
    <row r="151" spans="1:33" s="460" customFormat="1" ht="45" customHeight="1" x14ac:dyDescent="0.25">
      <c r="A151" s="113"/>
      <c r="B151" s="218"/>
      <c r="C151" s="113"/>
      <c r="D151" s="113"/>
      <c r="E151" s="113"/>
      <c r="F151" s="113"/>
      <c r="G151" s="113"/>
      <c r="H151" s="113"/>
      <c r="I151" s="113"/>
      <c r="J151" s="113"/>
      <c r="K151" s="176"/>
      <c r="L151" s="113"/>
      <c r="M151" s="113"/>
      <c r="N151" s="113"/>
      <c r="O151" s="113"/>
      <c r="P151" s="113"/>
      <c r="Q151" s="113"/>
      <c r="R151" s="113"/>
      <c r="S151" s="113"/>
      <c r="T151" s="178"/>
      <c r="U151" s="179"/>
      <c r="V151" s="178"/>
      <c r="W151" s="113"/>
      <c r="X151" s="113"/>
      <c r="Y151" s="113"/>
      <c r="Z151" s="113"/>
      <c r="AA151" s="113"/>
      <c r="AB151" s="178"/>
      <c r="AC151" s="178"/>
      <c r="AD151" s="113"/>
      <c r="AE151" s="113"/>
      <c r="AF151" s="113"/>
      <c r="AG151" s="113"/>
    </row>
    <row r="152" spans="1:33" s="460" customFormat="1" ht="45" customHeight="1" x14ac:dyDescent="0.25">
      <c r="A152" s="113"/>
      <c r="B152" s="218"/>
      <c r="C152" s="113"/>
      <c r="D152" s="113"/>
      <c r="E152" s="113"/>
      <c r="F152" s="113"/>
      <c r="G152" s="113"/>
      <c r="H152" s="113"/>
      <c r="I152" s="113"/>
      <c r="J152" s="113"/>
      <c r="K152" s="176"/>
      <c r="L152" s="113"/>
      <c r="M152" s="113"/>
      <c r="N152" s="113"/>
      <c r="O152" s="113"/>
      <c r="P152" s="113"/>
      <c r="Q152" s="113"/>
      <c r="R152" s="113"/>
      <c r="S152" s="113"/>
      <c r="T152" s="178"/>
      <c r="U152" s="179"/>
      <c r="V152" s="178"/>
      <c r="W152" s="113"/>
      <c r="X152" s="113"/>
      <c r="Y152" s="113"/>
      <c r="Z152" s="113"/>
      <c r="AA152" s="113"/>
      <c r="AB152" s="178"/>
      <c r="AC152" s="178"/>
      <c r="AD152" s="113"/>
      <c r="AE152" s="113"/>
      <c r="AF152" s="113"/>
      <c r="AG152" s="113"/>
    </row>
    <row r="153" spans="1:33" s="460" customFormat="1" ht="45" customHeight="1" x14ac:dyDescent="0.25">
      <c r="A153" s="113"/>
      <c r="B153" s="218"/>
      <c r="C153" s="113"/>
      <c r="D153" s="113"/>
      <c r="E153" s="113"/>
      <c r="F153" s="113"/>
      <c r="G153" s="113"/>
      <c r="H153" s="113"/>
      <c r="I153" s="113"/>
      <c r="J153" s="113"/>
      <c r="K153" s="176"/>
      <c r="L153" s="113"/>
      <c r="M153" s="113"/>
      <c r="N153" s="113"/>
      <c r="O153" s="113"/>
      <c r="P153" s="113"/>
      <c r="Q153" s="113"/>
      <c r="R153" s="113"/>
      <c r="S153" s="113"/>
      <c r="T153" s="178"/>
      <c r="U153" s="179"/>
      <c r="V153" s="178"/>
      <c r="W153" s="113"/>
      <c r="X153" s="113"/>
      <c r="Y153" s="113"/>
      <c r="Z153" s="113"/>
      <c r="AA153" s="113"/>
      <c r="AB153" s="178"/>
      <c r="AC153" s="178"/>
      <c r="AD153" s="113"/>
      <c r="AE153" s="113"/>
      <c r="AF153" s="113"/>
      <c r="AG153" s="113"/>
    </row>
    <row r="154" spans="1:33" s="460" customFormat="1" ht="45" customHeight="1" x14ac:dyDescent="0.25">
      <c r="A154" s="113"/>
      <c r="B154" s="218"/>
      <c r="C154" s="113"/>
      <c r="D154" s="113"/>
      <c r="E154" s="113"/>
      <c r="F154" s="113"/>
      <c r="G154" s="113"/>
      <c r="H154" s="113"/>
      <c r="I154" s="113"/>
      <c r="J154" s="113"/>
      <c r="K154" s="176"/>
      <c r="L154" s="113"/>
      <c r="M154" s="113"/>
      <c r="N154" s="113"/>
      <c r="O154" s="113"/>
      <c r="P154" s="113"/>
      <c r="Q154" s="113"/>
      <c r="R154" s="113"/>
      <c r="S154" s="113"/>
      <c r="T154" s="178"/>
      <c r="U154" s="179"/>
      <c r="V154" s="178"/>
      <c r="W154" s="113"/>
      <c r="X154" s="113"/>
      <c r="Y154" s="113"/>
      <c r="Z154" s="113"/>
      <c r="AA154" s="113"/>
      <c r="AB154" s="178"/>
      <c r="AC154" s="178"/>
      <c r="AD154" s="113"/>
      <c r="AE154" s="113"/>
      <c r="AF154" s="113"/>
      <c r="AG154" s="113"/>
    </row>
    <row r="155" spans="1:33" s="460" customFormat="1" ht="45" customHeight="1" x14ac:dyDescent="0.25">
      <c r="A155" s="113"/>
      <c r="B155" s="218"/>
      <c r="C155" s="113"/>
      <c r="D155" s="113"/>
      <c r="E155" s="113"/>
      <c r="F155" s="113"/>
      <c r="G155" s="113"/>
      <c r="H155" s="113"/>
      <c r="I155" s="113"/>
      <c r="J155" s="113"/>
      <c r="K155" s="176"/>
      <c r="L155" s="113"/>
      <c r="M155" s="113"/>
      <c r="N155" s="113"/>
      <c r="O155" s="113"/>
      <c r="P155" s="113"/>
      <c r="Q155" s="113"/>
      <c r="R155" s="113"/>
      <c r="S155" s="113"/>
      <c r="T155" s="178"/>
      <c r="U155" s="179"/>
      <c r="V155" s="178"/>
      <c r="W155" s="113"/>
      <c r="X155" s="113"/>
      <c r="Y155" s="113"/>
      <c r="Z155" s="113"/>
      <c r="AA155" s="113"/>
      <c r="AB155" s="178"/>
      <c r="AC155" s="178"/>
      <c r="AD155" s="113"/>
      <c r="AE155" s="113"/>
      <c r="AF155" s="113"/>
      <c r="AG155" s="113"/>
    </row>
    <row r="156" spans="1:33" s="460" customFormat="1" ht="45" customHeight="1" x14ac:dyDescent="0.25">
      <c r="A156" s="113"/>
      <c r="B156" s="218"/>
      <c r="C156" s="113"/>
      <c r="D156" s="113"/>
      <c r="E156" s="113"/>
      <c r="F156" s="113"/>
      <c r="G156" s="113"/>
      <c r="H156" s="113"/>
      <c r="I156" s="113"/>
      <c r="J156" s="113"/>
      <c r="K156" s="176"/>
      <c r="L156" s="113"/>
      <c r="M156" s="113"/>
      <c r="N156" s="113"/>
      <c r="O156" s="113"/>
      <c r="P156" s="113"/>
      <c r="Q156" s="113"/>
      <c r="R156" s="113"/>
      <c r="S156" s="113"/>
      <c r="T156" s="178"/>
      <c r="U156" s="179"/>
      <c r="V156" s="178"/>
      <c r="W156" s="113"/>
      <c r="X156" s="113"/>
      <c r="Y156" s="113"/>
      <c r="Z156" s="113"/>
      <c r="AA156" s="113"/>
      <c r="AB156" s="178"/>
      <c r="AC156" s="178"/>
      <c r="AD156" s="113"/>
      <c r="AE156" s="113"/>
      <c r="AF156" s="113"/>
      <c r="AG156" s="113"/>
    </row>
    <row r="157" spans="1:33" s="460" customFormat="1" ht="45" customHeight="1" x14ac:dyDescent="0.25">
      <c r="A157" s="113"/>
      <c r="B157" s="218"/>
      <c r="C157" s="113"/>
      <c r="D157" s="113"/>
      <c r="E157" s="113"/>
      <c r="F157" s="113"/>
      <c r="G157" s="113"/>
      <c r="H157" s="113"/>
      <c r="I157" s="113"/>
      <c r="J157" s="113"/>
      <c r="K157" s="176"/>
      <c r="L157" s="113"/>
      <c r="M157" s="113"/>
      <c r="N157" s="113"/>
      <c r="O157" s="113"/>
      <c r="P157" s="113"/>
      <c r="Q157" s="113"/>
      <c r="R157" s="113"/>
      <c r="S157" s="113"/>
      <c r="T157" s="178"/>
      <c r="U157" s="179"/>
      <c r="V157" s="178"/>
      <c r="W157" s="113"/>
      <c r="X157" s="113"/>
      <c r="Y157" s="113"/>
      <c r="Z157" s="113"/>
      <c r="AA157" s="113"/>
      <c r="AB157" s="178"/>
      <c r="AC157" s="178"/>
      <c r="AD157" s="113"/>
      <c r="AE157" s="113"/>
      <c r="AF157" s="113"/>
      <c r="AG157" s="113"/>
    </row>
    <row r="158" spans="1:33" s="460" customFormat="1" ht="45" customHeight="1" x14ac:dyDescent="0.25">
      <c r="A158" s="113"/>
      <c r="B158" s="218"/>
      <c r="C158" s="113"/>
      <c r="D158" s="113"/>
      <c r="E158" s="113"/>
      <c r="F158" s="113"/>
      <c r="G158" s="113"/>
      <c r="H158" s="113"/>
      <c r="I158" s="113"/>
      <c r="J158" s="113"/>
      <c r="K158" s="176"/>
      <c r="L158" s="113"/>
      <c r="M158" s="113"/>
      <c r="N158" s="113"/>
      <c r="O158" s="113"/>
      <c r="P158" s="113"/>
      <c r="Q158" s="113"/>
      <c r="R158" s="113"/>
      <c r="S158" s="113"/>
      <c r="T158" s="178"/>
      <c r="U158" s="179"/>
      <c r="V158" s="178"/>
      <c r="W158" s="113"/>
      <c r="X158" s="113"/>
      <c r="Y158" s="113"/>
      <c r="Z158" s="113"/>
      <c r="AA158" s="113"/>
      <c r="AB158" s="178"/>
      <c r="AC158" s="178"/>
      <c r="AD158" s="113"/>
      <c r="AE158" s="113"/>
      <c r="AF158" s="113"/>
      <c r="AG158" s="113"/>
    </row>
    <row r="159" spans="1:33" s="460" customFormat="1" ht="45" customHeight="1" x14ac:dyDescent="0.25">
      <c r="A159" s="113"/>
      <c r="B159" s="218"/>
      <c r="C159" s="113"/>
      <c r="D159" s="113"/>
      <c r="E159" s="113"/>
      <c r="F159" s="113"/>
      <c r="G159" s="113"/>
      <c r="H159" s="113"/>
      <c r="I159" s="113"/>
      <c r="J159" s="113"/>
      <c r="K159" s="176"/>
      <c r="L159" s="113"/>
      <c r="M159" s="113"/>
      <c r="N159" s="113"/>
      <c r="O159" s="113"/>
      <c r="P159" s="113"/>
      <c r="Q159" s="113"/>
      <c r="R159" s="113"/>
      <c r="S159" s="113"/>
      <c r="T159" s="178"/>
      <c r="U159" s="179"/>
      <c r="V159" s="178"/>
      <c r="W159" s="113"/>
      <c r="X159" s="113"/>
      <c r="Y159" s="113"/>
      <c r="Z159" s="113"/>
      <c r="AA159" s="113"/>
      <c r="AB159" s="178"/>
      <c r="AC159" s="178"/>
      <c r="AD159" s="113"/>
      <c r="AE159" s="113"/>
      <c r="AF159" s="113"/>
      <c r="AG159" s="113"/>
    </row>
    <row r="160" spans="1:33" s="460" customFormat="1" ht="45" customHeight="1" x14ac:dyDescent="0.25">
      <c r="A160" s="113"/>
      <c r="B160" s="218"/>
      <c r="C160" s="113"/>
      <c r="D160" s="113"/>
      <c r="E160" s="113"/>
      <c r="F160" s="113"/>
      <c r="G160" s="113"/>
      <c r="H160" s="113"/>
      <c r="I160" s="113"/>
      <c r="J160" s="113"/>
      <c r="K160" s="176"/>
      <c r="L160" s="113"/>
      <c r="M160" s="113"/>
      <c r="N160" s="113"/>
      <c r="O160" s="113"/>
      <c r="P160" s="113"/>
      <c r="Q160" s="113"/>
      <c r="R160" s="113"/>
      <c r="S160" s="113"/>
      <c r="T160" s="178"/>
      <c r="U160" s="179"/>
      <c r="V160" s="178"/>
      <c r="W160" s="113"/>
      <c r="X160" s="113"/>
      <c r="Y160" s="113"/>
      <c r="Z160" s="113"/>
      <c r="AA160" s="113"/>
      <c r="AB160" s="178"/>
      <c r="AC160" s="178"/>
      <c r="AD160" s="113"/>
      <c r="AE160" s="113"/>
      <c r="AF160" s="113"/>
      <c r="AG160" s="113"/>
    </row>
    <row r="161" spans="1:33" s="460" customFormat="1" ht="45" customHeight="1" x14ac:dyDescent="0.25">
      <c r="A161" s="113"/>
      <c r="B161" s="218"/>
      <c r="C161" s="113"/>
      <c r="D161" s="113"/>
      <c r="E161" s="113"/>
      <c r="F161" s="113"/>
      <c r="G161" s="113"/>
      <c r="H161" s="113"/>
      <c r="I161" s="113"/>
      <c r="J161" s="113"/>
      <c r="K161" s="176"/>
      <c r="L161" s="113"/>
      <c r="M161" s="113"/>
      <c r="N161" s="113"/>
      <c r="O161" s="113"/>
      <c r="P161" s="113"/>
      <c r="Q161" s="113"/>
      <c r="R161" s="113"/>
      <c r="S161" s="113"/>
      <c r="T161" s="178"/>
      <c r="U161" s="179"/>
      <c r="V161" s="178"/>
      <c r="W161" s="113"/>
      <c r="X161" s="113"/>
      <c r="Y161" s="113"/>
      <c r="Z161" s="113"/>
      <c r="AA161" s="113"/>
      <c r="AB161" s="178"/>
      <c r="AC161" s="178"/>
      <c r="AD161" s="113"/>
      <c r="AE161" s="113"/>
      <c r="AF161" s="113"/>
      <c r="AG161" s="113"/>
    </row>
    <row r="162" spans="1:33" s="460" customFormat="1" ht="45" customHeight="1" x14ac:dyDescent="0.25">
      <c r="A162" s="113"/>
      <c r="B162" s="218"/>
      <c r="C162" s="113"/>
      <c r="D162" s="113"/>
      <c r="E162" s="113"/>
      <c r="F162" s="113"/>
      <c r="G162" s="113"/>
      <c r="H162" s="113"/>
      <c r="I162" s="113"/>
      <c r="J162" s="113"/>
      <c r="K162" s="176"/>
      <c r="L162" s="113"/>
      <c r="M162" s="113"/>
      <c r="N162" s="113"/>
      <c r="O162" s="113"/>
      <c r="P162" s="113"/>
      <c r="Q162" s="113"/>
      <c r="R162" s="113"/>
      <c r="S162" s="113"/>
      <c r="T162" s="178"/>
      <c r="U162" s="179"/>
      <c r="V162" s="178"/>
      <c r="W162" s="113"/>
      <c r="X162" s="113"/>
      <c r="Y162" s="113"/>
      <c r="Z162" s="113"/>
      <c r="AA162" s="113"/>
      <c r="AB162" s="178"/>
      <c r="AC162" s="178"/>
      <c r="AD162" s="113"/>
      <c r="AE162" s="113"/>
      <c r="AF162" s="113"/>
      <c r="AG162" s="113"/>
    </row>
    <row r="163" spans="1:33" s="460" customFormat="1" ht="45" customHeight="1" x14ac:dyDescent="0.25">
      <c r="A163" s="113"/>
      <c r="B163" s="218"/>
      <c r="C163" s="113"/>
      <c r="D163" s="113"/>
      <c r="E163" s="113"/>
      <c r="F163" s="113"/>
      <c r="G163" s="113"/>
      <c r="H163" s="113"/>
      <c r="I163" s="113"/>
      <c r="J163" s="113"/>
      <c r="K163" s="176"/>
      <c r="L163" s="113"/>
      <c r="M163" s="113"/>
      <c r="N163" s="113"/>
      <c r="O163" s="113"/>
      <c r="P163" s="113"/>
      <c r="Q163" s="113"/>
      <c r="R163" s="113"/>
      <c r="S163" s="113"/>
      <c r="T163" s="178"/>
      <c r="U163" s="179"/>
      <c r="V163" s="178"/>
      <c r="W163" s="113"/>
      <c r="X163" s="113"/>
      <c r="Y163" s="113"/>
      <c r="Z163" s="113"/>
      <c r="AA163" s="113"/>
      <c r="AB163" s="178"/>
      <c r="AC163" s="178"/>
      <c r="AD163" s="113"/>
      <c r="AE163" s="113"/>
      <c r="AF163" s="113"/>
      <c r="AG163" s="113"/>
    </row>
    <row r="164" spans="1:33" s="460" customFormat="1" ht="45" customHeight="1" x14ac:dyDescent="0.25">
      <c r="A164" s="113"/>
      <c r="B164" s="218"/>
      <c r="C164" s="113"/>
      <c r="D164" s="113"/>
      <c r="E164" s="113"/>
      <c r="F164" s="113"/>
      <c r="G164" s="113"/>
      <c r="H164" s="113"/>
      <c r="I164" s="113"/>
      <c r="J164" s="113"/>
      <c r="K164" s="176"/>
      <c r="L164" s="113"/>
      <c r="M164" s="113"/>
      <c r="N164" s="113"/>
      <c r="O164" s="113"/>
      <c r="P164" s="113"/>
      <c r="Q164" s="113"/>
      <c r="R164" s="113"/>
      <c r="S164" s="113"/>
      <c r="T164" s="178"/>
      <c r="U164" s="179"/>
      <c r="V164" s="178"/>
      <c r="W164" s="113"/>
      <c r="X164" s="113"/>
      <c r="Y164" s="113"/>
      <c r="Z164" s="113"/>
      <c r="AA164" s="113"/>
      <c r="AB164" s="178"/>
      <c r="AC164" s="178"/>
      <c r="AD164" s="113"/>
      <c r="AE164" s="113"/>
      <c r="AF164" s="113"/>
      <c r="AG164" s="113"/>
    </row>
    <row r="165" spans="1:33" s="460" customFormat="1" ht="45" customHeight="1" x14ac:dyDescent="0.25">
      <c r="A165" s="113"/>
      <c r="B165" s="218"/>
      <c r="C165" s="113"/>
      <c r="D165" s="113"/>
      <c r="E165" s="113"/>
      <c r="F165" s="113"/>
      <c r="G165" s="113"/>
      <c r="H165" s="113"/>
      <c r="I165" s="113"/>
      <c r="J165" s="113"/>
      <c r="K165" s="176"/>
      <c r="L165" s="113"/>
      <c r="M165" s="113"/>
      <c r="N165" s="113"/>
      <c r="O165" s="113"/>
      <c r="P165" s="113"/>
      <c r="Q165" s="113"/>
      <c r="R165" s="113"/>
      <c r="S165" s="113"/>
      <c r="T165" s="178"/>
      <c r="U165" s="179"/>
      <c r="V165" s="178"/>
      <c r="W165" s="113"/>
      <c r="X165" s="113"/>
      <c r="Y165" s="113"/>
      <c r="Z165" s="113"/>
      <c r="AA165" s="113"/>
      <c r="AB165" s="178"/>
      <c r="AC165" s="178"/>
      <c r="AD165" s="113"/>
      <c r="AE165" s="113"/>
      <c r="AF165" s="113"/>
      <c r="AG165" s="113"/>
    </row>
    <row r="166" spans="1:33" s="460" customFormat="1" ht="45" customHeight="1" x14ac:dyDescent="0.25">
      <c r="A166" s="113"/>
      <c r="B166" s="218"/>
      <c r="C166" s="113"/>
      <c r="D166" s="113"/>
      <c r="E166" s="113"/>
      <c r="F166" s="113"/>
      <c r="G166" s="113"/>
      <c r="H166" s="113"/>
      <c r="I166" s="113"/>
      <c r="J166" s="113"/>
      <c r="K166" s="176"/>
      <c r="L166" s="113"/>
      <c r="M166" s="113"/>
      <c r="N166" s="113"/>
      <c r="O166" s="113"/>
      <c r="P166" s="113"/>
      <c r="Q166" s="113"/>
      <c r="R166" s="113"/>
      <c r="S166" s="113"/>
      <c r="T166" s="178"/>
      <c r="U166" s="179"/>
      <c r="V166" s="178"/>
      <c r="W166" s="113"/>
      <c r="X166" s="113"/>
      <c r="Y166" s="113"/>
      <c r="Z166" s="113"/>
      <c r="AA166" s="113"/>
      <c r="AB166" s="178"/>
      <c r="AC166" s="178"/>
      <c r="AD166" s="113"/>
      <c r="AE166" s="113"/>
      <c r="AF166" s="113"/>
      <c r="AG166" s="113"/>
    </row>
    <row r="167" spans="1:33" s="460" customFormat="1" ht="45" customHeight="1" x14ac:dyDescent="0.25">
      <c r="A167" s="113"/>
      <c r="B167" s="218"/>
      <c r="C167" s="113"/>
      <c r="D167" s="113"/>
      <c r="E167" s="113"/>
      <c r="F167" s="113"/>
      <c r="G167" s="113"/>
      <c r="H167" s="113"/>
      <c r="I167" s="113"/>
      <c r="J167" s="113"/>
      <c r="K167" s="176"/>
      <c r="L167" s="113"/>
      <c r="M167" s="113"/>
      <c r="N167" s="113"/>
      <c r="O167" s="113"/>
      <c r="P167" s="113"/>
      <c r="Q167" s="113"/>
      <c r="R167" s="113"/>
      <c r="S167" s="113"/>
      <c r="T167" s="178"/>
      <c r="U167" s="179"/>
      <c r="V167" s="178"/>
      <c r="W167" s="113"/>
      <c r="X167" s="113"/>
      <c r="Y167" s="113"/>
      <c r="Z167" s="113"/>
      <c r="AA167" s="113"/>
      <c r="AB167" s="178"/>
      <c r="AC167" s="178"/>
      <c r="AD167" s="113"/>
      <c r="AE167" s="113"/>
      <c r="AF167" s="113"/>
      <c r="AG167" s="113"/>
    </row>
    <row r="168" spans="1:33" s="460" customFormat="1" ht="45" customHeight="1" x14ac:dyDescent="0.25">
      <c r="A168" s="113"/>
      <c r="B168" s="218"/>
      <c r="C168" s="113"/>
      <c r="D168" s="113"/>
      <c r="E168" s="113"/>
      <c r="F168" s="113"/>
      <c r="G168" s="113"/>
      <c r="H168" s="113"/>
      <c r="I168" s="113"/>
      <c r="J168" s="113"/>
      <c r="K168" s="176"/>
      <c r="L168" s="113"/>
      <c r="M168" s="113"/>
      <c r="N168" s="113"/>
      <c r="O168" s="113"/>
      <c r="P168" s="113"/>
      <c r="Q168" s="113"/>
      <c r="R168" s="113"/>
      <c r="S168" s="113"/>
      <c r="T168" s="178"/>
      <c r="U168" s="179"/>
      <c r="V168" s="178"/>
      <c r="W168" s="113"/>
      <c r="X168" s="113"/>
      <c r="Y168" s="113"/>
      <c r="Z168" s="113"/>
      <c r="AA168" s="113"/>
      <c r="AB168" s="178"/>
      <c r="AC168" s="178"/>
      <c r="AD168" s="113"/>
      <c r="AE168" s="113"/>
      <c r="AF168" s="113"/>
      <c r="AG168" s="113"/>
    </row>
    <row r="169" spans="1:33" s="460" customFormat="1" ht="45" customHeight="1" x14ac:dyDescent="0.25">
      <c r="A169" s="113"/>
      <c r="B169" s="218"/>
      <c r="C169" s="113"/>
      <c r="D169" s="113"/>
      <c r="E169" s="113"/>
      <c r="F169" s="113"/>
      <c r="G169" s="113"/>
      <c r="H169" s="113"/>
      <c r="I169" s="113"/>
      <c r="J169" s="113"/>
      <c r="K169" s="176"/>
      <c r="L169" s="113"/>
      <c r="M169" s="113"/>
      <c r="N169" s="113"/>
      <c r="O169" s="113"/>
      <c r="P169" s="113"/>
      <c r="Q169" s="113"/>
      <c r="R169" s="113"/>
      <c r="S169" s="113"/>
      <c r="T169" s="178"/>
      <c r="U169" s="179"/>
      <c r="V169" s="178"/>
      <c r="W169" s="113"/>
      <c r="X169" s="113"/>
      <c r="Y169" s="113"/>
      <c r="Z169" s="113"/>
      <c r="AA169" s="113"/>
      <c r="AB169" s="178"/>
      <c r="AC169" s="178"/>
      <c r="AD169" s="113"/>
      <c r="AE169" s="113"/>
      <c r="AF169" s="113"/>
      <c r="AG169" s="113"/>
    </row>
    <row r="170" spans="1:33" s="460" customFormat="1" ht="45" customHeight="1" x14ac:dyDescent="0.25">
      <c r="A170" s="113"/>
      <c r="B170" s="218"/>
      <c r="C170" s="113"/>
      <c r="D170" s="113"/>
      <c r="E170" s="113"/>
      <c r="F170" s="113"/>
      <c r="G170" s="113"/>
      <c r="H170" s="113"/>
      <c r="I170" s="113"/>
      <c r="J170" s="113"/>
      <c r="K170" s="176"/>
      <c r="L170" s="113"/>
      <c r="M170" s="113"/>
      <c r="N170" s="113"/>
      <c r="O170" s="113"/>
      <c r="P170" s="113"/>
      <c r="Q170" s="113"/>
      <c r="R170" s="113"/>
      <c r="S170" s="113"/>
      <c r="T170" s="178"/>
      <c r="U170" s="179"/>
      <c r="V170" s="178"/>
      <c r="W170" s="113"/>
      <c r="X170" s="113"/>
      <c r="Y170" s="113"/>
      <c r="Z170" s="113"/>
      <c r="AA170" s="113"/>
      <c r="AB170" s="178"/>
      <c r="AC170" s="178"/>
      <c r="AD170" s="113"/>
      <c r="AE170" s="113"/>
      <c r="AF170" s="113"/>
      <c r="AG170" s="113"/>
    </row>
    <row r="171" spans="1:33" s="460" customFormat="1" ht="45" customHeight="1" x14ac:dyDescent="0.25">
      <c r="A171" s="113"/>
      <c r="B171" s="218"/>
      <c r="C171" s="113"/>
      <c r="D171" s="113"/>
      <c r="E171" s="113"/>
      <c r="F171" s="113"/>
      <c r="G171" s="113"/>
      <c r="H171" s="113"/>
      <c r="I171" s="113"/>
      <c r="J171" s="113"/>
      <c r="K171" s="176"/>
      <c r="L171" s="113"/>
      <c r="M171" s="113"/>
      <c r="N171" s="113"/>
      <c r="O171" s="113"/>
      <c r="P171" s="113"/>
      <c r="Q171" s="113"/>
      <c r="R171" s="113"/>
      <c r="S171" s="113"/>
      <c r="T171" s="178"/>
      <c r="U171" s="179"/>
      <c r="V171" s="178"/>
      <c r="W171" s="113"/>
      <c r="X171" s="113"/>
      <c r="Y171" s="113"/>
      <c r="Z171" s="113"/>
      <c r="AA171" s="113"/>
      <c r="AB171" s="178"/>
      <c r="AC171" s="178"/>
      <c r="AD171" s="113"/>
      <c r="AE171" s="113"/>
      <c r="AF171" s="113"/>
      <c r="AG171" s="113"/>
    </row>
    <row r="172" spans="1:33" s="460" customFormat="1" ht="45" customHeight="1" x14ac:dyDescent="0.25">
      <c r="A172" s="113"/>
      <c r="B172" s="218"/>
      <c r="C172" s="113"/>
      <c r="D172" s="113"/>
      <c r="E172" s="113"/>
      <c r="F172" s="113"/>
      <c r="G172" s="113"/>
      <c r="H172" s="113"/>
      <c r="I172" s="113"/>
      <c r="J172" s="113"/>
      <c r="K172" s="176"/>
      <c r="L172" s="113"/>
      <c r="M172" s="113"/>
      <c r="N172" s="113"/>
      <c r="O172" s="113"/>
      <c r="P172" s="113"/>
      <c r="Q172" s="113"/>
      <c r="R172" s="113"/>
      <c r="S172" s="113"/>
      <c r="T172" s="178"/>
      <c r="U172" s="179"/>
      <c r="V172" s="178"/>
      <c r="W172" s="113"/>
      <c r="X172" s="113"/>
      <c r="Y172" s="113"/>
      <c r="Z172" s="113"/>
      <c r="AA172" s="113"/>
      <c r="AB172" s="178"/>
      <c r="AC172" s="178"/>
      <c r="AD172" s="113"/>
      <c r="AE172" s="113"/>
      <c r="AF172" s="113"/>
      <c r="AG172" s="113"/>
    </row>
    <row r="173" spans="1:33" s="460" customFormat="1" ht="45" customHeight="1" x14ac:dyDescent="0.25">
      <c r="A173" s="113"/>
      <c r="B173" s="218"/>
      <c r="C173" s="113"/>
      <c r="D173" s="113"/>
      <c r="E173" s="113"/>
      <c r="F173" s="113"/>
      <c r="G173" s="113"/>
      <c r="H173" s="113"/>
      <c r="I173" s="113"/>
      <c r="J173" s="113"/>
      <c r="K173" s="176"/>
      <c r="L173" s="113"/>
      <c r="M173" s="113"/>
      <c r="N173" s="113"/>
      <c r="O173" s="113"/>
      <c r="P173" s="113"/>
      <c r="Q173" s="113"/>
      <c r="R173" s="113"/>
      <c r="S173" s="113"/>
      <c r="T173" s="178"/>
      <c r="U173" s="179"/>
      <c r="V173" s="178"/>
      <c r="W173" s="113"/>
      <c r="X173" s="113"/>
      <c r="Y173" s="113"/>
      <c r="Z173" s="113"/>
      <c r="AA173" s="113"/>
      <c r="AB173" s="178"/>
      <c r="AC173" s="178"/>
      <c r="AD173" s="113"/>
      <c r="AE173" s="113"/>
      <c r="AF173" s="113"/>
      <c r="AG173" s="113"/>
    </row>
    <row r="174" spans="1:33" s="460" customFormat="1" ht="45" customHeight="1" x14ac:dyDescent="0.25">
      <c r="A174" s="113"/>
      <c r="B174" s="218"/>
      <c r="C174" s="113"/>
      <c r="D174" s="113"/>
      <c r="E174" s="113"/>
      <c r="F174" s="113"/>
      <c r="G174" s="113"/>
      <c r="H174" s="113"/>
      <c r="I174" s="113"/>
      <c r="J174" s="113"/>
      <c r="K174" s="176"/>
      <c r="L174" s="113"/>
      <c r="M174" s="113"/>
      <c r="N174" s="113"/>
      <c r="O174" s="113"/>
      <c r="P174" s="113"/>
      <c r="Q174" s="113"/>
      <c r="R174" s="113"/>
      <c r="S174" s="113"/>
      <c r="T174" s="178"/>
      <c r="U174" s="179"/>
      <c r="V174" s="178"/>
      <c r="W174" s="113"/>
      <c r="X174" s="113"/>
      <c r="Y174" s="113"/>
      <c r="Z174" s="113"/>
      <c r="AA174" s="113"/>
      <c r="AB174" s="178"/>
      <c r="AC174" s="178"/>
      <c r="AD174" s="113"/>
      <c r="AE174" s="113"/>
      <c r="AF174" s="113"/>
      <c r="AG174" s="113"/>
    </row>
    <row r="175" spans="1:33" s="460" customFormat="1" ht="45" customHeight="1" x14ac:dyDescent="0.25">
      <c r="A175" s="113"/>
      <c r="B175" s="218"/>
      <c r="C175" s="113"/>
      <c r="D175" s="113"/>
      <c r="E175" s="113"/>
      <c r="F175" s="113"/>
      <c r="G175" s="113"/>
      <c r="H175" s="113"/>
      <c r="I175" s="113"/>
      <c r="J175" s="113"/>
      <c r="K175" s="176"/>
      <c r="L175" s="113"/>
      <c r="M175" s="113">
        <v>0.55000000000000004</v>
      </c>
      <c r="N175" s="113">
        <v>926.2</v>
      </c>
      <c r="O175" s="176">
        <f>N175/30</f>
        <v>30.873333333333335</v>
      </c>
      <c r="P175" s="176"/>
      <c r="Q175" s="176">
        <f>O175*19</f>
        <v>586.59333333333336</v>
      </c>
      <c r="R175" s="176">
        <f>O176*11</f>
        <v>493.97333333333336</v>
      </c>
      <c r="S175" s="176"/>
      <c r="T175" s="178"/>
      <c r="U175" s="179"/>
      <c r="V175" s="178"/>
      <c r="W175" s="113"/>
      <c r="X175" s="113"/>
      <c r="Y175" s="113"/>
      <c r="Z175" s="113"/>
      <c r="AA175" s="113"/>
      <c r="AB175" s="178"/>
      <c r="AC175" s="178"/>
      <c r="AD175" s="113"/>
      <c r="AE175" s="113"/>
      <c r="AF175" s="113"/>
      <c r="AG175" s="113"/>
    </row>
    <row r="176" spans="1:33" s="460" customFormat="1" ht="45" customHeight="1" x14ac:dyDescent="0.25">
      <c r="A176" s="113"/>
      <c r="B176" s="218"/>
      <c r="C176" s="113"/>
      <c r="D176" s="113"/>
      <c r="E176" s="113"/>
      <c r="F176" s="113"/>
      <c r="G176" s="113"/>
      <c r="H176" s="113"/>
      <c r="I176" s="113"/>
      <c r="J176" s="113"/>
      <c r="K176" s="176"/>
      <c r="L176" s="113"/>
      <c r="M176" s="113">
        <v>0.8</v>
      </c>
      <c r="N176" s="113">
        <v>1347.2</v>
      </c>
      <c r="O176" s="176">
        <f>N176/30</f>
        <v>44.906666666666666</v>
      </c>
      <c r="P176" s="113"/>
      <c r="Q176" s="176"/>
      <c r="R176" s="113"/>
      <c r="S176" s="113"/>
      <c r="T176" s="178"/>
      <c r="U176" s="179"/>
      <c r="V176" s="178"/>
      <c r="W176" s="113"/>
      <c r="X176" s="113"/>
      <c r="Y176" s="113"/>
      <c r="Z176" s="113"/>
      <c r="AA176" s="113"/>
      <c r="AB176" s="178"/>
      <c r="AC176" s="178"/>
      <c r="AD176" s="113"/>
      <c r="AE176" s="113"/>
      <c r="AF176" s="113"/>
      <c r="AG176" s="113"/>
    </row>
    <row r="177" spans="1:33" s="460" customFormat="1" ht="45" customHeight="1" x14ac:dyDescent="0.25">
      <c r="A177" s="113"/>
      <c r="B177" s="218"/>
      <c r="C177" s="113"/>
      <c r="D177" s="113"/>
      <c r="E177" s="113"/>
      <c r="F177" s="113"/>
      <c r="G177" s="113"/>
      <c r="H177" s="113"/>
      <c r="I177" s="113"/>
      <c r="J177" s="113"/>
      <c r="K177" s="176"/>
      <c r="L177" s="113"/>
      <c r="M177" s="113">
        <v>1.1499999999999999</v>
      </c>
      <c r="N177" s="113">
        <v>1936.6</v>
      </c>
      <c r="O177" s="176">
        <f>N177/30</f>
        <v>64.553333333333327</v>
      </c>
      <c r="P177" s="176"/>
      <c r="Q177" s="176">
        <f>O176*19</f>
        <v>853.22666666666669</v>
      </c>
      <c r="R177" s="176">
        <f>O177*11</f>
        <v>710.08666666666659</v>
      </c>
      <c r="S177" s="176"/>
      <c r="T177" s="178"/>
      <c r="U177" s="179"/>
      <c r="V177" s="178"/>
      <c r="W177" s="113"/>
      <c r="X177" s="113"/>
      <c r="Y177" s="113"/>
      <c r="Z177" s="113"/>
      <c r="AA177" s="113"/>
      <c r="AB177" s="178"/>
      <c r="AC177" s="178"/>
      <c r="AD177" s="113"/>
      <c r="AE177" s="113"/>
      <c r="AF177" s="113"/>
      <c r="AG177" s="113"/>
    </row>
    <row r="178" spans="1:33" s="460" customFormat="1" ht="6.75" customHeight="1" x14ac:dyDescent="0.25">
      <c r="A178" s="113"/>
      <c r="B178" s="218"/>
      <c r="C178" s="113"/>
      <c r="D178" s="113"/>
      <c r="E178" s="113"/>
      <c r="F178" s="113"/>
      <c r="G178" s="113"/>
      <c r="H178" s="113"/>
      <c r="I178" s="113"/>
      <c r="J178" s="113"/>
      <c r="K178" s="176"/>
      <c r="L178" s="113"/>
      <c r="M178" s="113"/>
      <c r="N178" s="113"/>
      <c r="O178" s="113"/>
      <c r="P178" s="113"/>
      <c r="Q178" s="113"/>
      <c r="R178" s="113"/>
      <c r="S178" s="113"/>
      <c r="T178" s="178"/>
      <c r="U178" s="179"/>
      <c r="V178" s="178"/>
      <c r="W178" s="113"/>
      <c r="X178" s="113"/>
      <c r="Y178" s="113"/>
      <c r="Z178" s="113"/>
      <c r="AA178" s="113"/>
      <c r="AB178" s="178"/>
      <c r="AC178" s="178"/>
      <c r="AD178" s="113"/>
      <c r="AE178" s="113"/>
      <c r="AF178" s="113"/>
      <c r="AG178" s="113"/>
    </row>
    <row r="179" spans="1:33" s="460" customFormat="1" ht="6.75" customHeight="1" x14ac:dyDescent="0.25">
      <c r="A179" s="113"/>
      <c r="B179" s="218"/>
      <c r="C179" s="113"/>
      <c r="D179" s="113"/>
      <c r="E179" s="113"/>
      <c r="F179" s="113"/>
      <c r="G179" s="113"/>
      <c r="H179" s="113"/>
      <c r="I179" s="113"/>
      <c r="J179" s="113"/>
      <c r="K179" s="176"/>
      <c r="L179" s="113"/>
      <c r="M179" s="113"/>
      <c r="N179" s="113"/>
      <c r="O179" s="113"/>
      <c r="P179" s="113"/>
      <c r="Q179" s="113"/>
      <c r="R179" s="113"/>
      <c r="S179" s="113"/>
      <c r="T179" s="178"/>
      <c r="U179" s="179"/>
      <c r="V179" s="178"/>
      <c r="W179" s="113"/>
      <c r="X179" s="113"/>
      <c r="Y179" s="113"/>
      <c r="Z179" s="113"/>
      <c r="AA179" s="113"/>
      <c r="AB179" s="178"/>
      <c r="AC179" s="178"/>
      <c r="AD179" s="113"/>
      <c r="AE179" s="113"/>
      <c r="AF179" s="113"/>
      <c r="AG179" s="113"/>
    </row>
    <row r="180" spans="1:33" s="460" customFormat="1" ht="6.75" customHeight="1" x14ac:dyDescent="0.25">
      <c r="A180" s="113"/>
      <c r="B180" s="218"/>
      <c r="C180" s="113"/>
      <c r="D180" s="113"/>
      <c r="E180" s="113"/>
      <c r="F180" s="113"/>
      <c r="G180" s="113"/>
      <c r="H180" s="113"/>
      <c r="I180" s="113"/>
      <c r="J180" s="113"/>
      <c r="K180" s="176"/>
      <c r="L180" s="113"/>
      <c r="M180" s="113"/>
      <c r="N180" s="113"/>
      <c r="O180" s="113"/>
      <c r="P180" s="113"/>
      <c r="Q180" s="113"/>
      <c r="R180" s="113"/>
      <c r="S180" s="113"/>
      <c r="T180" s="178"/>
      <c r="U180" s="179"/>
      <c r="V180" s="178"/>
      <c r="W180" s="113"/>
      <c r="X180" s="113"/>
      <c r="Y180" s="113"/>
      <c r="Z180" s="113"/>
      <c r="AA180" s="113"/>
      <c r="AB180" s="178"/>
      <c r="AC180" s="178"/>
      <c r="AD180" s="113"/>
      <c r="AE180" s="113"/>
      <c r="AF180" s="113"/>
      <c r="AG180" s="113"/>
    </row>
    <row r="181" spans="1:33" s="460" customFormat="1" ht="15" customHeight="1" x14ac:dyDescent="0.25">
      <c r="A181" s="113"/>
      <c r="B181" s="218"/>
      <c r="C181" s="113"/>
      <c r="D181" s="113"/>
      <c r="E181" s="113"/>
      <c r="F181" s="113"/>
      <c r="G181" s="113"/>
      <c r="H181" s="113"/>
      <c r="I181" s="113"/>
      <c r="J181" s="113"/>
      <c r="K181" s="176"/>
      <c r="L181" s="113"/>
      <c r="M181" s="113"/>
      <c r="N181" s="113"/>
      <c r="O181" s="113"/>
      <c r="P181" s="113"/>
      <c r="Q181" s="113"/>
      <c r="R181" s="113"/>
      <c r="S181" s="113"/>
      <c r="T181" s="178"/>
      <c r="U181" s="179"/>
      <c r="V181" s="178"/>
      <c r="W181" s="113"/>
      <c r="X181" s="113"/>
      <c r="Y181" s="113"/>
      <c r="Z181" s="113"/>
      <c r="AA181" s="113"/>
      <c r="AB181" s="178"/>
      <c r="AC181" s="178"/>
      <c r="AD181" s="113"/>
      <c r="AE181" s="113"/>
      <c r="AF181" s="113"/>
      <c r="AG181" s="113"/>
    </row>
  </sheetData>
  <mergeCells count="13">
    <mergeCell ref="Z12:AB12"/>
    <mergeCell ref="AC12:AD12"/>
    <mergeCell ref="A131:T132"/>
    <mergeCell ref="E10:F10"/>
    <mergeCell ref="A12:M12"/>
    <mergeCell ref="N12:P12"/>
    <mergeCell ref="Q12:T12"/>
    <mergeCell ref="U12:Y12"/>
    <mergeCell ref="A2:T2"/>
    <mergeCell ref="A3:T3"/>
    <mergeCell ref="A4:T4"/>
    <mergeCell ref="A5:T5"/>
    <mergeCell ref="A8:K8"/>
  </mergeCells>
  <pageMargins left="0.17013900000000001" right="0.17013900000000001" top="0.2" bottom="0.17013900000000001" header="0.51180599999999998" footer="0.51180599999999998"/>
  <pageSetup paperSize="9" scale="10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3"/>
  <sheetViews>
    <sheetView showGridLines="0" tabSelected="1" workbookViewId="0">
      <selection activeCell="B107" sqref="B1:L107"/>
    </sheetView>
  </sheetViews>
  <sheetFormatPr defaultRowHeight="14.85" customHeight="1" x14ac:dyDescent="0.25"/>
  <cols>
    <col min="1" max="1" width="0.7109375" style="221" customWidth="1"/>
    <col min="2" max="2" width="5" style="224" customWidth="1"/>
    <col min="3" max="3" width="4.42578125" style="221" hidden="1" customWidth="1"/>
    <col min="4" max="4" width="29.7109375" style="222" customWidth="1"/>
    <col min="5" max="5" width="24" style="223" customWidth="1"/>
    <col min="6" max="6" width="26.28515625" style="223" customWidth="1"/>
    <col min="7" max="7" width="9.28515625" style="221" customWidth="1"/>
    <col min="8" max="8" width="7.85546875" style="224" customWidth="1"/>
    <col min="9" max="9" width="10.42578125" style="225" customWidth="1"/>
    <col min="10" max="10" width="9.28515625" style="225" customWidth="1"/>
    <col min="11" max="11" width="9.140625" style="225"/>
    <col min="12" max="12" width="9.140625" style="307"/>
    <col min="13" max="15" width="9.140625" style="221"/>
    <col min="16" max="16" width="10.140625" style="221" customWidth="1"/>
    <col min="17" max="16384" width="9.140625" style="221"/>
  </cols>
  <sheetData>
    <row r="1" spans="1:14" ht="15" customHeight="1" x14ac:dyDescent="0.25">
      <c r="C1" s="595"/>
      <c r="D1" s="595"/>
      <c r="E1" s="595"/>
      <c r="F1" s="595"/>
      <c r="G1" s="595"/>
      <c r="H1" s="595"/>
      <c r="I1" s="595"/>
      <c r="J1" s="595"/>
      <c r="K1" s="595"/>
    </row>
    <row r="2" spans="1:14" ht="15" customHeight="1" x14ac:dyDescent="0.25">
      <c r="C2" s="591"/>
      <c r="D2" s="591"/>
      <c r="E2" s="591"/>
      <c r="F2" s="591"/>
      <c r="G2" s="591"/>
      <c r="H2" s="591"/>
      <c r="I2" s="591"/>
      <c r="J2" s="591"/>
      <c r="K2" s="591"/>
    </row>
    <row r="3" spans="1:14" ht="12" customHeight="1" x14ac:dyDescent="0.25">
      <c r="C3" s="591"/>
      <c r="D3" s="591"/>
      <c r="E3" s="591"/>
      <c r="F3" s="591"/>
      <c r="G3" s="591"/>
      <c r="H3" s="591"/>
      <c r="I3" s="591"/>
      <c r="J3" s="591"/>
      <c r="K3" s="591"/>
    </row>
    <row r="4" spans="1:14" ht="11.25" customHeight="1" x14ac:dyDescent="0.25">
      <c r="C4" s="591"/>
      <c r="D4" s="591"/>
      <c r="E4" s="591"/>
      <c r="F4" s="591"/>
      <c r="G4" s="591"/>
      <c r="H4" s="591"/>
      <c r="I4" s="591"/>
      <c r="J4" s="591"/>
      <c r="K4" s="591"/>
    </row>
    <row r="5" spans="1:14" ht="9.75" customHeight="1" x14ac:dyDescent="0.25">
      <c r="G5" s="224"/>
    </row>
    <row r="6" spans="1:14" ht="12.75" customHeight="1" x14ac:dyDescent="0.25">
      <c r="C6" s="596"/>
      <c r="D6" s="596"/>
      <c r="E6" s="596"/>
      <c r="F6" s="596"/>
      <c r="G6" s="596"/>
      <c r="H6" s="596"/>
      <c r="I6" s="596"/>
      <c r="J6" s="596"/>
      <c r="K6" s="596"/>
    </row>
    <row r="7" spans="1:14" ht="12.75" customHeight="1" x14ac:dyDescent="0.25">
      <c r="C7" s="591"/>
      <c r="D7" s="591"/>
      <c r="E7" s="591"/>
      <c r="F7" s="591"/>
      <c r="G7" s="591"/>
      <c r="H7" s="591"/>
      <c r="I7" s="591"/>
      <c r="J7" s="591"/>
      <c r="K7" s="591"/>
    </row>
    <row r="8" spans="1:14" s="226" customFormat="1" ht="5.25" customHeight="1" x14ac:dyDescent="0.25">
      <c r="B8" s="227"/>
      <c r="C8" s="227"/>
      <c r="D8" s="228"/>
      <c r="E8" s="229"/>
      <c r="F8" s="229"/>
      <c r="G8" s="227"/>
      <c r="H8" s="227"/>
      <c r="I8" s="230"/>
      <c r="J8" s="230"/>
      <c r="K8" s="230"/>
      <c r="L8" s="308"/>
    </row>
    <row r="9" spans="1:14" s="226" customFormat="1" ht="30" customHeight="1" x14ac:dyDescent="0.25">
      <c r="B9" s="592" t="s">
        <v>467</v>
      </c>
      <c r="C9" s="592"/>
      <c r="D9" s="592"/>
      <c r="E9" s="592"/>
      <c r="F9" s="592"/>
      <c r="G9" s="592"/>
      <c r="H9" s="592"/>
      <c r="I9" s="592"/>
      <c r="J9" s="592"/>
      <c r="K9" s="592"/>
      <c r="L9" s="308"/>
    </row>
    <row r="10" spans="1:14" s="231" customFormat="1" ht="30" customHeight="1" x14ac:dyDescent="0.25">
      <c r="B10" s="593" t="s">
        <v>584</v>
      </c>
      <c r="C10" s="593"/>
      <c r="D10" s="593"/>
      <c r="E10" s="593"/>
      <c r="F10" s="593"/>
      <c r="G10" s="593"/>
      <c r="H10" s="593"/>
      <c r="I10" s="593"/>
      <c r="J10" s="593"/>
      <c r="K10" s="593"/>
      <c r="L10" s="309"/>
    </row>
    <row r="11" spans="1:14" s="229" customFormat="1" ht="30" customHeight="1" x14ac:dyDescent="0.25">
      <c r="B11" s="232" t="s">
        <v>468</v>
      </c>
      <c r="C11" s="233"/>
      <c r="D11" s="233" t="s">
        <v>469</v>
      </c>
      <c r="E11" s="233" t="s">
        <v>470</v>
      </c>
      <c r="F11" s="233" t="s">
        <v>33</v>
      </c>
      <c r="G11" s="233" t="s">
        <v>31</v>
      </c>
      <c r="H11" s="233" t="s">
        <v>471</v>
      </c>
      <c r="I11" s="234" t="s">
        <v>472</v>
      </c>
      <c r="J11" s="234" t="s">
        <v>473</v>
      </c>
      <c r="K11" s="234" t="s">
        <v>59</v>
      </c>
      <c r="L11" s="310"/>
    </row>
    <row r="12" spans="1:14" s="231" customFormat="1" ht="30" customHeight="1" x14ac:dyDescent="0.25">
      <c r="B12" s="235">
        <v>1</v>
      </c>
      <c r="C12" s="236">
        <v>22</v>
      </c>
      <c r="D12" s="384" t="str">
        <f>IF(C12="","",LOOKUP($C12,'Cadastro de BC - Servidores'!$A$14:$B$123))</f>
        <v>Abel Freire Freitas</v>
      </c>
      <c r="E12" s="237" t="str">
        <f>IF(C12="","",LOOKUP($C12,'Cadastro de BC - Servidores'!$A$14:$D$123))</f>
        <v>Coordenadoria de Metrologia Legal</v>
      </c>
      <c r="F12" s="237" t="str">
        <f>IF(C12="","",LOOKUP($C12,'Cadastro de BC - Servidores'!$A$14:$E$123))</f>
        <v>Agente Administrativo</v>
      </c>
      <c r="G12" s="238">
        <f>IF(C12="","",LOOKUP($C12,'Cadastro de BC - Servidores'!$A$14:$C$123))</f>
        <v>32294</v>
      </c>
      <c r="H12" s="239" t="str">
        <f>IF(C12="","",LOOKUP($C12,'Cadastro de BC - Servidores'!$A$14:$F$123))</f>
        <v>CE</v>
      </c>
      <c r="I12" s="240">
        <f>IF(C12="","",LOOKUP($C12,'Cadastro de BC - Servidores'!$A$14:$O$123))</f>
        <v>2081.5</v>
      </c>
      <c r="J12" s="240">
        <f>IF(C12="","",LOOKUP($C12,'Cadastro de BC - Servidores'!$A$14:$AF$123))</f>
        <v>454.61999999999995</v>
      </c>
      <c r="K12" s="240">
        <f>IF(C12="","",LOOKUP($C12,'Cadastro de BC - Servidores'!$A$14:$AG$123))</f>
        <v>1626.88</v>
      </c>
      <c r="L12" s="309"/>
      <c r="M12" s="284"/>
      <c r="N12" s="284"/>
    </row>
    <row r="13" spans="1:14" s="231" customFormat="1" ht="30" customHeight="1" x14ac:dyDescent="0.25">
      <c r="B13" s="235">
        <f>B12+1</f>
        <v>2</v>
      </c>
      <c r="C13" s="236">
        <v>48</v>
      </c>
      <c r="D13" s="384" t="str">
        <f>IF(C13="","",LOOKUP($C13,'Cadastro de BC - Servidores'!$A$14:$B$123))</f>
        <v>Abigail Vieira de A. Mendonça</v>
      </c>
      <c r="E13" s="237" t="str">
        <f>IF(C13="","",LOOKUP($C13,'Cadastro de BC - Servidores'!$A$14:$D$123))</f>
        <v>Coordenadoria de Produtos Pré-Medidos e Metrologia Científica</v>
      </c>
      <c r="F13" s="237" t="str">
        <f>IF(C13="","",LOOKUP($C13,'Cadastro de BC - Servidores'!$A$14:$E$123))</f>
        <v>Coordenador de Produtos Pré Medidos e Metrologia Científica</v>
      </c>
      <c r="G13" s="238">
        <f>IF(C13="","",LOOKUP($C13,'Cadastro de BC - Servidores'!$A$14:$C$123))</f>
        <v>27856</v>
      </c>
      <c r="H13" s="239" t="str">
        <f>IF(C13="","",LOOKUP($C13,'Cadastro de BC - Servidores'!$A$14:$F$123))</f>
        <v>EF</v>
      </c>
      <c r="I13" s="240">
        <f>IF(C13="","",LOOKUP($C13,'Cadastro de BC - Servidores'!$A$14:$O$123))</f>
        <v>2715</v>
      </c>
      <c r="J13" s="240">
        <f>IF(C13="","",LOOKUP($C13,'Cadastro de BC - Servidores'!$A$14:$AF$123))</f>
        <v>746.62499999999977</v>
      </c>
      <c r="K13" s="240">
        <f>IF(C13="","",LOOKUP($C13,'Cadastro de BC - Servidores'!$A$14:$AG$123))</f>
        <v>1968.3750000000002</v>
      </c>
      <c r="L13" s="309"/>
      <c r="M13" s="284"/>
      <c r="N13" s="284"/>
    </row>
    <row r="14" spans="1:14" s="231" customFormat="1" ht="30" customHeight="1" x14ac:dyDescent="0.25">
      <c r="B14" s="235">
        <f t="shared" ref="B14:B44" si="0">B13+1</f>
        <v>3</v>
      </c>
      <c r="C14" s="236">
        <v>21</v>
      </c>
      <c r="D14" s="384" t="str">
        <f>IF(C14="","",LOOKUP($C14,'Cadastro de BC - Servidores'!$A$14:$B$123))</f>
        <v xml:space="preserve">Acácia Maria N. Rosa Marques </v>
      </c>
      <c r="E14" s="237" t="str">
        <f>IF(C14="","",LOOKUP($C14,'Cadastro de BC - Servidores'!$A$14:$D$123))</f>
        <v>Subcoordenadoria  de Protocolo e Arquivo</v>
      </c>
      <c r="F14" s="237" t="str">
        <f>IF(C14="","",LOOKUP($C14,'Cadastro de BC - Servidores'!$A$14:$E$123))</f>
        <v>Oficial Administrativo</v>
      </c>
      <c r="G14" s="238">
        <f>IF(C14="","",LOOKUP($C14,'Cadastro de BC - Servidores'!$A$14:$C$123))</f>
        <v>30784</v>
      </c>
      <c r="H14" s="239" t="str">
        <f>IF(C14="","",LOOKUP($C14,'Cadastro de BC - Servidores'!$A$14:$F$123))</f>
        <v>CE</v>
      </c>
      <c r="I14" s="240">
        <f>IF(C14="","",LOOKUP($C14,'Cadastro de BC - Servidores'!$A$14:$O$123))</f>
        <v>742.09999999999991</v>
      </c>
      <c r="J14" s="240">
        <f>IF(C14="","",LOOKUP($C14,'Cadastro de BC - Servidores'!$A$14:$AF$123))</f>
        <v>156.92500000000001</v>
      </c>
      <c r="K14" s="240">
        <f>IF(C14="","",LOOKUP($C14,'Cadastro de BC - Servidores'!$A$14:$AG$123))</f>
        <v>585.17499999999995</v>
      </c>
      <c r="L14" s="309"/>
      <c r="M14" s="284"/>
      <c r="N14" s="284"/>
    </row>
    <row r="15" spans="1:14" s="231" customFormat="1" ht="30" customHeight="1" x14ac:dyDescent="0.25">
      <c r="A15" s="231">
        <v>1</v>
      </c>
      <c r="B15" s="235">
        <f t="shared" si="0"/>
        <v>4</v>
      </c>
      <c r="C15" s="236">
        <v>1</v>
      </c>
      <c r="D15" s="384" t="str">
        <f>IF(C15="","",LOOKUP($C15,'Cadastro de BC - Servidores'!$A$14:$B$123))</f>
        <v>Adailton Andre da Silva Passos</v>
      </c>
      <c r="E15" s="237" t="str">
        <f>IF(C15="","",LOOKUP($C15,'Cadastro de BC - Servidores'!$A$14:$D$123))</f>
        <v>Coordenadoria de Metrologia Legal</v>
      </c>
      <c r="F15" s="237" t="str">
        <f>IF(C15="","",LOOKUP($C15,'Cadastro de BC - Servidores'!$A$14:$E$123))</f>
        <v>Auxiliar de Gabinete</v>
      </c>
      <c r="G15" s="238">
        <f>IF(C15="","",LOOKUP($C15,'Cadastro de BC - Servidores'!$A$14:$C$123))</f>
        <v>41365</v>
      </c>
      <c r="H15" s="239" t="str">
        <f>IF(C15="","",LOOKUP($C15,'Cadastro de BC - Servidores'!$A$14:$F$123))</f>
        <v>CC</v>
      </c>
      <c r="I15" s="240">
        <f>IF(C15="","",LOOKUP($C15,'Cadastro de BC - Servidores'!$A$14:$O$123))</f>
        <v>2081.5</v>
      </c>
      <c r="J15" s="240">
        <f>IF(C15="","",LOOKUP($C15,'Cadastro de BC - Servidores'!$A$14:$AF$123))</f>
        <v>164.56499999999997</v>
      </c>
      <c r="K15" s="240">
        <f>IF(C15="","",LOOKUP($C15,'Cadastro de BC - Servidores'!$A$14:$AG$123))</f>
        <v>1916.9349999999999</v>
      </c>
      <c r="L15" s="309"/>
      <c r="M15" s="284"/>
      <c r="N15" s="284"/>
    </row>
    <row r="16" spans="1:14" s="231" customFormat="1" ht="30" customHeight="1" x14ac:dyDescent="0.25">
      <c r="B16" s="235">
        <f t="shared" si="0"/>
        <v>5</v>
      </c>
      <c r="C16" s="236">
        <v>27</v>
      </c>
      <c r="D16" s="384" t="str">
        <f>IF(C16="","",LOOKUP($C16,'Cadastro de BC - Servidores'!$A$14:$B$123))</f>
        <v>Gleize Kelly Sobral Sousa</v>
      </c>
      <c r="E16" s="237">
        <f>IF(C16="","",LOOKUP($C16,'Cadastro de BC - Servidores'!$A$14:$D$123))</f>
        <v>0</v>
      </c>
      <c r="F16" s="237">
        <f>IF(C16="","",LOOKUP($C16,'Cadastro de BC - Servidores'!$A$14:$E$123))</f>
        <v>0</v>
      </c>
      <c r="G16" s="238">
        <f>IF(C16="","",LOOKUP($C16,'Cadastro de BC - Servidores'!$A$14:$C$123))</f>
        <v>0</v>
      </c>
      <c r="H16" s="239" t="str">
        <f>IF(C16="","",LOOKUP($C16,'Cadastro de BC - Servidores'!$A$14:$F$123))</f>
        <v>CC</v>
      </c>
      <c r="I16" s="240">
        <f>IF(C16="","",LOOKUP($C16,'Cadastro de BC - Servidores'!$A$14:$O$123))</f>
        <v>742.09999999999991</v>
      </c>
      <c r="J16" s="240">
        <f>IF(C16="","",LOOKUP($C16,'Cadastro de BC - Servidores'!$A$14:$AF$123))</f>
        <v>55.657499999999978</v>
      </c>
      <c r="K16" s="240">
        <f>IF(C16="","",LOOKUP($C16,'Cadastro de BC - Servidores'!$A$14:$AG$123))</f>
        <v>686.44249999999988</v>
      </c>
      <c r="L16" s="309"/>
      <c r="M16" s="284"/>
      <c r="N16" s="284"/>
    </row>
    <row r="17" spans="1:14" s="231" customFormat="1" ht="30" customHeight="1" x14ac:dyDescent="0.25">
      <c r="B17" s="235">
        <f t="shared" si="0"/>
        <v>6</v>
      </c>
      <c r="C17" s="236">
        <v>2</v>
      </c>
      <c r="D17" s="384" t="str">
        <f>IF(C17="","",LOOKUP($C17,'Cadastro de BC - Servidores'!$A$14:$B$123))</f>
        <v>Amanda Brás Rocha</v>
      </c>
      <c r="E17" s="237" t="str">
        <f>IF(C17="","",LOOKUP($C17,'Cadastro de BC - Servidores'!$A$14:$D$123))</f>
        <v>Coordenadoria de Metrologia Legal</v>
      </c>
      <c r="F17" s="237" t="str">
        <f>IF(C17="","",LOOKUP($C17,'Cadastro de BC - Servidores'!$A$14:$E$123))</f>
        <v>Diretor de subcoordenadoria de Massa, Volume e Comprimento</v>
      </c>
      <c r="G17" s="238">
        <f>IF(C17="","",LOOKUP($C17,'Cadastro de BC - Servidores'!$A$14:$C$123))</f>
        <v>40634</v>
      </c>
      <c r="H17" s="239" t="str">
        <f>IF(C17="","",LOOKUP($C17,'Cadastro de BC - Servidores'!$A$14:$F$123))</f>
        <v>CC</v>
      </c>
      <c r="I17" s="240">
        <f>IF(C17="","",LOOKUP($C17,'Cadastro de BC - Servidores'!$A$14:$O$123))</f>
        <v>2624.5</v>
      </c>
      <c r="J17" s="240">
        <f>IF(C17="","",LOOKUP($C17,'Cadastro de BC - Servidores'!$A$14:$AF$123))</f>
        <v>445.36775000000006</v>
      </c>
      <c r="K17" s="240">
        <f>IF(C17="","",LOOKUP($C17,'Cadastro de BC - Servidores'!$A$14:$AG$123))</f>
        <v>2179.1322500000001</v>
      </c>
      <c r="L17" s="309"/>
      <c r="M17" s="284"/>
      <c r="N17" s="284"/>
    </row>
    <row r="18" spans="1:14" s="231" customFormat="1" ht="30" customHeight="1" x14ac:dyDescent="0.25">
      <c r="B18" s="235">
        <f t="shared" si="0"/>
        <v>7</v>
      </c>
      <c r="C18" s="236">
        <v>99</v>
      </c>
      <c r="D18" s="384" t="str">
        <f>IF(C18="","",LOOKUP($C18,'Cadastro de BC - Servidores'!$A$14:$B$123))</f>
        <v>Ana Carolina Cardoso da Mota</v>
      </c>
      <c r="E18" s="237" t="str">
        <f>IF(C18="","",LOOKUP($C18,'Cadastro de BC - Servidores'!$A$14:$D$123))</f>
        <v>Gerência de Projetos e Convênios</v>
      </c>
      <c r="F18" s="237" t="str">
        <f>IF(C18="","",LOOKUP($C18,'Cadastro de BC - Servidores'!$A$14:$E$123))</f>
        <v>Gerente de Projetos e Convenios</v>
      </c>
      <c r="G18" s="238">
        <f>IF(C18="","",LOOKUP($C18,'Cadastro de BC - Servidores'!$A$14:$C$123))</f>
        <v>43282</v>
      </c>
      <c r="H18" s="239" t="str">
        <f>IF(C18="","",LOOKUP($C18,'Cadastro de BC - Servidores'!$A$14:$F$123))</f>
        <v>CC</v>
      </c>
      <c r="I18" s="240">
        <f>IF(C18="","",LOOKUP($C18,'Cadastro de BC - Servidores'!$A$14:$O$123))</f>
        <v>1991.0000000000002</v>
      </c>
      <c r="J18" s="240">
        <f>IF(C18="","",LOOKUP($C18,'Cadastro de BC - Servidores'!$A$14:$AF$123))</f>
        <v>367.62849999999997</v>
      </c>
      <c r="K18" s="240">
        <f>IF(C18="","",LOOKUP($C18,'Cadastro de BC - Servidores'!$A$14:$AG$123))</f>
        <v>1623.3715000000002</v>
      </c>
      <c r="L18" s="309"/>
      <c r="M18" s="284"/>
      <c r="N18" s="284"/>
    </row>
    <row r="19" spans="1:14" s="231" customFormat="1" ht="30" customHeight="1" x14ac:dyDescent="0.25">
      <c r="B19" s="235">
        <f t="shared" si="0"/>
        <v>8</v>
      </c>
      <c r="C19" s="236">
        <v>50</v>
      </c>
      <c r="D19" s="384" t="str">
        <f>IF(C19="","",LOOKUP($C19,'Cadastro de BC - Servidores'!$A$14:$B$123))</f>
        <v>Ana Inêz Moraes de Faria</v>
      </c>
      <c r="E19" s="237" t="str">
        <f>IF(C19="","",LOOKUP($C19,'Cadastro de BC - Servidores'!$A$14:$D$123))</f>
        <v>Gerência Executiva de Metrologia, Normalização e Qualidade Industrial</v>
      </c>
      <c r="F19" s="237" t="str">
        <f>IF(C19="","",LOOKUP($C19,'Cadastro de BC - Servidores'!$A$14:$E$123))</f>
        <v>Oficial Administrativo</v>
      </c>
      <c r="G19" s="238">
        <f>IF(C19="","",LOOKUP($C19,'Cadastro de BC - Servidores'!$A$14:$C$123))</f>
        <v>32295</v>
      </c>
      <c r="H19" s="239" t="str">
        <f>IF(C19="","",LOOKUP($C19,'Cadastro de BC - Servidores'!$A$14:$F$123))</f>
        <v>EF</v>
      </c>
      <c r="I19" s="240">
        <f>IF(C19="","",LOOKUP($C19,'Cadastro de BC - Servidores'!$A$14:$O$123))</f>
        <v>1357.5</v>
      </c>
      <c r="J19" s="240">
        <f>IF(C19="","",LOOKUP($C19,'Cadastro de BC - Servidores'!$A$14:$AF$123))</f>
        <v>353.08399999999995</v>
      </c>
      <c r="K19" s="240">
        <f>IF(C19="","",LOOKUP($C19,'Cadastro de BC - Servidores'!$A$14:$AG$123))</f>
        <v>1004.4160000000001</v>
      </c>
      <c r="L19" s="309"/>
      <c r="M19" s="284"/>
      <c r="N19" s="284"/>
    </row>
    <row r="20" spans="1:14" s="241" customFormat="1" ht="30" customHeight="1" x14ac:dyDescent="0.25">
      <c r="A20" s="231"/>
      <c r="B20" s="235">
        <f t="shared" si="0"/>
        <v>9</v>
      </c>
      <c r="C20" s="236">
        <v>51</v>
      </c>
      <c r="D20" s="384" t="str">
        <f>IF(C20="","",LOOKUP($C20,'Cadastro de BC - Servidores'!$A$14:$B$123))</f>
        <v>Ana Maria Alves dos Santos</v>
      </c>
      <c r="E20" s="237" t="str">
        <f>IF(C20="","",LOOKUP($C20,'Cadastro de BC - Servidores'!$A$14:$D$123))</f>
        <v>Subcoordenadoria de Protocolo e Arquivo</v>
      </c>
      <c r="F20" s="237" t="str">
        <f>IF(C20="","",LOOKUP($C20,'Cadastro de BC - Servidores'!$A$14:$E$123))</f>
        <v>Assistente Administrativo</v>
      </c>
      <c r="G20" s="238">
        <f>IF(C20="","",LOOKUP($C20,'Cadastro de BC - Servidores'!$A$14:$C$123))</f>
        <v>31579</v>
      </c>
      <c r="H20" s="239" t="str">
        <f>IF(C20="","",LOOKUP($C20,'Cadastro de BC - Servidores'!$A$14:$F$123))</f>
        <v>EF</v>
      </c>
      <c r="I20" s="240">
        <f>IF(C20="","",LOOKUP($C20,'Cadastro de BC - Servidores'!$A$14:$O$123))</f>
        <v>742.09999999999991</v>
      </c>
      <c r="J20" s="240">
        <f>IF(C20="","",LOOKUP($C20,'Cadastro de BC - Servidores'!$A$14:$AF$123))</f>
        <v>204.0775000000001</v>
      </c>
      <c r="K20" s="240">
        <f>IF(C20="","",LOOKUP($C20,'Cadastro de BC - Servidores'!$A$14:$AG$123))</f>
        <v>538.02249999999981</v>
      </c>
      <c r="L20" s="309"/>
      <c r="M20" s="284"/>
      <c r="N20" s="284"/>
    </row>
    <row r="21" spans="1:14" s="231" customFormat="1" ht="30" customHeight="1" x14ac:dyDescent="0.25">
      <c r="B21" s="235">
        <f t="shared" si="0"/>
        <v>10</v>
      </c>
      <c r="C21" s="236">
        <v>52</v>
      </c>
      <c r="D21" s="384" t="str">
        <f>IF(C21="","",LOOKUP($C21,'Cadastro de BC - Servidores'!$A$14:$B$123))</f>
        <v>Ana Paula Araújo Costa</v>
      </c>
      <c r="E21" s="237" t="str">
        <f>IF(C21="","",LOOKUP($C21,'Cadastro de BC - Servidores'!$A$14:$D$123))</f>
        <v>Coordenadoria de Metrologia Legal</v>
      </c>
      <c r="F21" s="237" t="str">
        <f>IF(C21="","",LOOKUP($C21,'Cadastro de BC - Servidores'!$A$14:$E$123))</f>
        <v>Auxiliar Técnico</v>
      </c>
      <c r="G21" s="238">
        <f>IF(C21="","",LOOKUP($C21,'Cadastro de BC - Servidores'!$A$14:$C$123))</f>
        <v>31554</v>
      </c>
      <c r="H21" s="239" t="str">
        <f>IF(C21="","",LOOKUP($C21,'Cadastro de BC - Servidores'!$A$14:$F$123))</f>
        <v>EF</v>
      </c>
      <c r="I21" s="240">
        <f>IF(C21="","",LOOKUP($C21,'Cadastro de BC - Servidores'!$A$14:$O$123))</f>
        <v>2715</v>
      </c>
      <c r="J21" s="240">
        <f>IF(C21="","",LOOKUP($C21,'Cadastro de BC - Servidores'!$A$14:$AF$123))</f>
        <v>737.29000000000008</v>
      </c>
      <c r="K21" s="240">
        <f>IF(C21="","",LOOKUP($C21,'Cadastro de BC - Servidores'!$A$14:$AG$123))</f>
        <v>1977.71</v>
      </c>
      <c r="L21" s="309"/>
      <c r="M21" s="284"/>
      <c r="N21" s="284"/>
    </row>
    <row r="22" spans="1:14" s="231" customFormat="1" ht="30" customHeight="1" x14ac:dyDescent="0.25">
      <c r="B22" s="235">
        <f t="shared" si="0"/>
        <v>11</v>
      </c>
      <c r="C22" s="236">
        <v>63</v>
      </c>
      <c r="D22" s="384" t="str">
        <f>IF(C22="","",LOOKUP($C22,'Cadastro de BC - Servidores'!$A$14:$B$123))</f>
        <v>Ana Virgínia Dantas Figueiredo</v>
      </c>
      <c r="E22" s="237" t="str">
        <f>IF(C22="","",LOOKUP($C22,'Cadastro de BC - Servidores'!$A$14:$D$123))</f>
        <v>Gerência de Atividades Técnicas</v>
      </c>
      <c r="F22" s="237" t="str">
        <f>IF(C22="","",LOOKUP($C22,'Cadastro de BC - Servidores'!$A$14:$E$123))</f>
        <v>Engenheiro Químico</v>
      </c>
      <c r="G22" s="238">
        <f>IF(C22="","",LOOKUP($C22,'Cadastro de BC - Servidores'!$A$14:$C$123))</f>
        <v>31474</v>
      </c>
      <c r="H22" s="239" t="str">
        <f>IF(C22="","",LOOKUP($C22,'Cadastro de BC - Servidores'!$A$14:$F$123))</f>
        <v>EF</v>
      </c>
      <c r="I22" s="240">
        <f>IF(C22="","",LOOKUP($C22,'Cadastro de BC - Servidores'!$A$14:$O$123))</f>
        <v>1991.0000000000002</v>
      </c>
      <c r="J22" s="240">
        <f>IF(C22="","",LOOKUP($C22,'Cadastro de BC - Servidores'!$A$14:$AF$123))</f>
        <v>547.52499999999964</v>
      </c>
      <c r="K22" s="240">
        <f>IF(C22="","",LOOKUP($C22,'Cadastro de BC - Servidores'!$A$14:$AG$123))</f>
        <v>1443.4750000000006</v>
      </c>
      <c r="L22" s="309"/>
      <c r="M22" s="284"/>
      <c r="N22" s="284"/>
    </row>
    <row r="23" spans="1:14" s="231" customFormat="1" ht="30" customHeight="1" x14ac:dyDescent="0.25">
      <c r="B23" s="235">
        <f t="shared" si="0"/>
        <v>12</v>
      </c>
      <c r="C23" s="236">
        <v>49</v>
      </c>
      <c r="D23" s="384" t="str">
        <f>IF(C23="","",LOOKUP($C23,'Cadastro de BC - Servidores'!$A$14:$B$123))</f>
        <v>Anamira dos Santos Lima</v>
      </c>
      <c r="E23" s="237" t="str">
        <f>IF(C23="","",LOOKUP($C23,'Cadastro de BC - Servidores'!$A$14:$D$123))</f>
        <v>Coordenadoria de Metrologia Legal</v>
      </c>
      <c r="F23" s="237" t="str">
        <f>IF(C23="","",LOOKUP($C23,'Cadastro de BC - Servidores'!$A$14:$E$123))</f>
        <v>Oficial Administrativo</v>
      </c>
      <c r="G23" s="238">
        <f>IF(C23="","",LOOKUP($C23,'Cadastro de BC - Servidores'!$A$14:$C$123))</f>
        <v>31474</v>
      </c>
      <c r="H23" s="239" t="str">
        <f>IF(C23="","",LOOKUP($C23,'Cadastro de BC - Servidores'!$A$14:$F$123))</f>
        <v>EF</v>
      </c>
      <c r="I23" s="240">
        <f>IF(C23="","",LOOKUP($C23,'Cadastro de BC - Servidores'!$A$14:$O$123))</f>
        <v>2715</v>
      </c>
      <c r="J23" s="240">
        <f>IF(C23="","",LOOKUP($C23,'Cadastro de BC - Servidores'!$A$14:$AF$123))</f>
        <v>739.23750000000018</v>
      </c>
      <c r="K23" s="240">
        <f>IF(C23="","",LOOKUP($C23,'Cadastro de BC - Servidores'!$A$14:$AG$123))</f>
        <v>1975.7624999999998</v>
      </c>
      <c r="L23" s="309"/>
      <c r="M23" s="284"/>
      <c r="N23" s="284"/>
    </row>
    <row r="24" spans="1:14" s="231" customFormat="1" ht="30" customHeight="1" x14ac:dyDescent="0.25">
      <c r="B24" s="235">
        <f t="shared" si="0"/>
        <v>13</v>
      </c>
      <c r="C24" s="236">
        <v>8</v>
      </c>
      <c r="D24" s="384" t="str">
        <f>IF(C24="","",LOOKUP($C24,'Cadastro de BC - Servidores'!$A$14:$B$123))</f>
        <v xml:space="preserve">Anderson Breno Vasconcelos </v>
      </c>
      <c r="E24" s="237" t="str">
        <f>IF(C24="","",LOOKUP($C24,'Cadastro de BC - Servidores'!$A$14:$D$123))</f>
        <v>Coordenadoria de Serviços Gerais</v>
      </c>
      <c r="F24" s="237" t="str">
        <f>IF(C24="","",LOOKUP($C24,'Cadastro de BC - Servidores'!$A$14:$E$123))</f>
        <v>Coordenador de Serviços gerais</v>
      </c>
      <c r="G24" s="238" t="str">
        <f>IF(C24="","",LOOKUP($C24,'Cadastro de BC - Servidores'!$A$14:$C$123))</f>
        <v xml:space="preserve"> 01/03/2021</v>
      </c>
      <c r="H24" s="239" t="str">
        <f>IF(C24="","",LOOKUP($C24,'Cadastro de BC - Servidores'!$A$14:$F$123))</f>
        <v>CC</v>
      </c>
      <c r="I24" s="240">
        <f>IF(C24="","",LOOKUP($C24,'Cadastro de BC - Servidores'!$A$14:$O$123))</f>
        <v>1448</v>
      </c>
      <c r="J24" s="240">
        <f>IF(C24="","",LOOKUP($C24,'Cadastro de BC - Servidores'!$A$14:$AF$123))</f>
        <v>157.07024999999993</v>
      </c>
      <c r="K24" s="240">
        <f>IF(C24="","",LOOKUP($C24,'Cadastro de BC - Servidores'!$A$14:$AG$123))</f>
        <v>1290.92975</v>
      </c>
      <c r="L24" s="309"/>
      <c r="M24" s="284"/>
      <c r="N24" s="284"/>
    </row>
    <row r="25" spans="1:14" s="231" customFormat="1" ht="30" customHeight="1" x14ac:dyDescent="0.25">
      <c r="B25" s="235">
        <f t="shared" si="0"/>
        <v>14</v>
      </c>
      <c r="C25" s="236">
        <v>12</v>
      </c>
      <c r="D25" s="384" t="str">
        <f>IF(C25="","",LOOKUP($C25,'Cadastro de BC - Servidores'!$A$14:$B$123))</f>
        <v>Anny Karolinny Silva de Souza</v>
      </c>
      <c r="E25" s="237" t="str">
        <f>IF(C25="","",LOOKUP($C25,'Cadastro de BC - Servidores'!$A$14:$D$123))</f>
        <v>Gerência de Contabilidade e Finanças</v>
      </c>
      <c r="F25" s="237" t="str">
        <f>IF(C25="","",LOOKUP($C25,'Cadastro de BC - Servidores'!$A$14:$E$123))</f>
        <v>Coordenador de Orçamento e Finanças</v>
      </c>
      <c r="G25" s="238">
        <f>IF(C25="","",LOOKUP($C25,'Cadastro de BC - Servidores'!$A$14:$C$123))</f>
        <v>43262</v>
      </c>
      <c r="H25" s="239" t="str">
        <f>IF(C25="","",LOOKUP($C25,'Cadastro de BC - Servidores'!$A$14:$F$123))</f>
        <v>CC</v>
      </c>
      <c r="I25" s="240">
        <f>IF(C25="","",LOOKUP($C25,'Cadastro de BC - Servidores'!$A$14:$O$123))</f>
        <v>1448</v>
      </c>
      <c r="J25" s="240">
        <f>IF(C25="","",LOOKUP($C25,'Cadastro de BC - Servidores'!$A$14:$AF$123))</f>
        <v>157.07024999999993</v>
      </c>
      <c r="K25" s="240">
        <f>IF(C25="","",LOOKUP($C25,'Cadastro de BC - Servidores'!$A$14:$AG$123))</f>
        <v>1290.92975</v>
      </c>
      <c r="L25" s="309"/>
      <c r="M25" s="284"/>
      <c r="N25" s="284"/>
    </row>
    <row r="26" spans="1:14" s="231" customFormat="1" ht="30" customHeight="1" x14ac:dyDescent="0.25">
      <c r="B26" s="235">
        <f t="shared" si="0"/>
        <v>15</v>
      </c>
      <c r="C26" s="236">
        <v>53</v>
      </c>
      <c r="D26" s="384" t="str">
        <f>IF(C26="","",LOOKUP($C26,'Cadastro de BC - Servidores'!$A$14:$B$123))</f>
        <v>Anselmo Alves Secundo</v>
      </c>
      <c r="E26" s="237" t="str">
        <f>IF(C26="","",LOOKUP($C26,'Cadastro de BC - Servidores'!$A$14:$D$123))</f>
        <v>Coordenadoria de Metrologia Legal</v>
      </c>
      <c r="F26" s="237" t="str">
        <f>IF(C26="","",LOOKUP($C26,'Cadastro de BC - Servidores'!$A$14:$E$123))</f>
        <v>Tecnico em Quimica</v>
      </c>
      <c r="G26" s="238">
        <f>IF(C26="","",LOOKUP($C26,'Cadastro de BC - Servidores'!$A$14:$C$123))</f>
        <v>31240</v>
      </c>
      <c r="H26" s="239" t="str">
        <f>IF(C26="","",LOOKUP($C26,'Cadastro de BC - Servidores'!$A$14:$F$123))</f>
        <v>EF</v>
      </c>
      <c r="I26" s="240">
        <f>IF(C26="","",LOOKUP($C26,'Cadastro de BC - Servidores'!$A$14:$O$123))</f>
        <v>2715</v>
      </c>
      <c r="J26" s="240">
        <f>IF(C26="","",LOOKUP($C26,'Cadastro de BC - Servidores'!$A$14:$AF$123))</f>
        <v>693.84125000000017</v>
      </c>
      <c r="K26" s="240">
        <f>IF(C26="","",LOOKUP($C26,'Cadastro de BC - Servidores'!$A$14:$AG$123))</f>
        <v>2021.1587499999998</v>
      </c>
      <c r="L26" s="309"/>
      <c r="M26" s="284"/>
      <c r="N26" s="284"/>
    </row>
    <row r="27" spans="1:14" s="231" customFormat="1" ht="30" customHeight="1" x14ac:dyDescent="0.25">
      <c r="B27" s="235">
        <f t="shared" si="0"/>
        <v>16</v>
      </c>
      <c r="C27" s="236">
        <v>36</v>
      </c>
      <c r="D27" s="384" t="str">
        <f>IF(C27="","",LOOKUP($C27,'Cadastro de BC - Servidores'!$A$14:$B$123))</f>
        <v xml:space="preserve">Antonio Carlos Porto de Andrade </v>
      </c>
      <c r="E27" s="237" t="str">
        <f>IF(C27="","",LOOKUP($C27,'Cadastro de BC - Servidores'!$A$14:$D$123))</f>
        <v>Presidência</v>
      </c>
      <c r="F27" s="237" t="str">
        <f>IF(C27="","",LOOKUP($C27,'Cadastro de BC - Servidores'!$A$14:$E$123))</f>
        <v>Engenheiro Químico</v>
      </c>
      <c r="G27" s="238">
        <f>IF(C27="","",LOOKUP($C27,'Cadastro de BC - Servidores'!$A$14:$C$123))</f>
        <v>45574</v>
      </c>
      <c r="H27" s="239" t="str">
        <f>IF(C27="","",LOOKUP($C27,'Cadastro de BC - Servidores'!$A$14:$F$123))</f>
        <v>CE</v>
      </c>
      <c r="I27" s="240">
        <f>IF(C27="","",LOOKUP($C27,'Cadastro de BC - Servidores'!$A$14:$O$123))</f>
        <v>4525</v>
      </c>
      <c r="J27" s="240">
        <f>IF(C27="","",LOOKUP($C27,'Cadastro de BC - Servidores'!$A$14:$AF$123))</f>
        <v>1244.375</v>
      </c>
      <c r="K27" s="240">
        <f>IF(C27="","",LOOKUP($C27,'Cadastro de BC - Servidores'!$A$14:$AG$123))</f>
        <v>3280.625</v>
      </c>
      <c r="L27" s="309"/>
      <c r="M27" s="284"/>
      <c r="N27" s="284"/>
    </row>
    <row r="28" spans="1:14" s="231" customFormat="1" ht="30" customHeight="1" x14ac:dyDescent="0.25">
      <c r="B28" s="235">
        <f t="shared" si="0"/>
        <v>17</v>
      </c>
      <c r="C28" s="236">
        <v>16</v>
      </c>
      <c r="D28" s="384" t="str">
        <f>IF(C28="","",LOOKUP($C28,'Cadastro de BC - Servidores'!$A$14:$B$123))</f>
        <v>Barbara Santana de Andrade</v>
      </c>
      <c r="E28" s="237" t="str">
        <f>IF(C28="","",LOOKUP($C28,'Cadastro de BC - Servidores'!$A$14:$D$123))</f>
        <v>Procuradoria Jurídica</v>
      </c>
      <c r="F28" s="237" t="str">
        <f>IF(C28="","",LOOKUP($C28,'Cadastro de BC - Servidores'!$A$14:$E$123))</f>
        <v>Assessor Técnico Administrativo II</v>
      </c>
      <c r="G28" s="238">
        <f>IF(C28="","",LOOKUP($C28,'Cadastro de BC - Servidores'!$A$14:$C$123))</f>
        <v>42583</v>
      </c>
      <c r="H28" s="239" t="str">
        <f>IF(C28="","",LOOKUP($C28,'Cadastro de BC - Servidores'!$A$14:$F$123))</f>
        <v>CC</v>
      </c>
      <c r="I28" s="240">
        <f>IF(C28="","",LOOKUP($C28,'Cadastro de BC - Servidores'!$A$14:$O$123))</f>
        <v>1991.0000000000002</v>
      </c>
      <c r="J28" s="240">
        <f>IF(C28="","",LOOKUP($C28,'Cadastro de BC - Servidores'!$A$14:$AF$123))</f>
        <v>285.65650000000005</v>
      </c>
      <c r="K28" s="240">
        <f>IF(C28="","",LOOKUP($C28,'Cadastro de BC - Servidores'!$A$14:$AG$123))</f>
        <v>1705.3435000000002</v>
      </c>
      <c r="L28" s="309"/>
      <c r="M28" s="284"/>
      <c r="N28" s="284"/>
    </row>
    <row r="29" spans="1:14" s="231" customFormat="1" ht="30" customHeight="1" x14ac:dyDescent="0.25">
      <c r="B29" s="235">
        <f t="shared" si="0"/>
        <v>18</v>
      </c>
      <c r="C29" s="236">
        <v>23</v>
      </c>
      <c r="D29" s="384" t="str">
        <f>IF(C29="","",LOOKUP($C29,'Cadastro de BC - Servidores'!$A$14:$B$123))</f>
        <v>Belisdete Barbosa dos Santos</v>
      </c>
      <c r="E29" s="237" t="str">
        <f>IF(C29="","",LOOKUP($C29,'Cadastro de BC - Servidores'!$A$14:$D$123))</f>
        <v>Diretoria Técnica</v>
      </c>
      <c r="F29" s="237" t="str">
        <f>IF(C29="","",LOOKUP($C29,'Cadastro de BC - Servidores'!$A$14:$E$123))</f>
        <v>Oficial Administrativo</v>
      </c>
      <c r="G29" s="238">
        <f>IF(C29="","",LOOKUP($C29,'Cadastro de BC - Servidores'!$A$14:$C$123))</f>
        <v>31083</v>
      </c>
      <c r="H29" s="239" t="str">
        <f>IF(C29="","",LOOKUP($C29,'Cadastro de BC - Servidores'!$A$14:$F$123))</f>
        <v>CE</v>
      </c>
      <c r="I29" s="240">
        <f>IF(C29="","",LOOKUP($C29,'Cadastro de BC - Servidores'!$A$14:$O$123))</f>
        <v>814.50000000000011</v>
      </c>
      <c r="J29" s="240">
        <f>IF(C29="","",LOOKUP($C29,'Cadastro de BC - Servidores'!$A$14:$AF$123))</f>
        <v>183.26250000000016</v>
      </c>
      <c r="K29" s="240">
        <f>IF(C29="","",LOOKUP($C29,'Cadastro de BC - Servidores'!$A$14:$AG$123))</f>
        <v>631.23749999999995</v>
      </c>
      <c r="L29" s="309"/>
      <c r="M29" s="284"/>
      <c r="N29" s="284"/>
    </row>
    <row r="30" spans="1:14" s="231" customFormat="1" ht="30" customHeight="1" x14ac:dyDescent="0.25">
      <c r="B30" s="235">
        <f t="shared" si="0"/>
        <v>19</v>
      </c>
      <c r="C30" s="236">
        <v>24</v>
      </c>
      <c r="D30" s="384" t="str">
        <f>IF(C30="","",LOOKUP($C30,'Cadastro de BC - Servidores'!$A$14:$B$123))</f>
        <v>Carlos Alberto de Alcântara</v>
      </c>
      <c r="E30" s="237" t="str">
        <f>IF(C30="","",LOOKUP($C30,'Cadastro de BC - Servidores'!$A$14:$D$123))</f>
        <v>Coordenadoria de Documentação e Inspeção</v>
      </c>
      <c r="F30" s="237" t="str">
        <f>IF(C30="","",LOOKUP($C30,'Cadastro de BC - Servidores'!$A$14:$E$123))</f>
        <v>Coordenador de Documentação e Inspeção</v>
      </c>
      <c r="G30" s="238">
        <f>IF(C30="","",LOOKUP($C30,'Cadastro de BC - Servidores'!$A$14:$C$123))</f>
        <v>39234</v>
      </c>
      <c r="H30" s="239" t="str">
        <f>IF(C30="","",LOOKUP($C30,'Cadastro de BC - Servidores'!$A$14:$F$123))</f>
        <v>CE</v>
      </c>
      <c r="I30" s="240">
        <f>IF(C30="","",LOOKUP($C30,'Cadastro de BC - Servidores'!$A$14:$O$123))</f>
        <v>1810</v>
      </c>
      <c r="J30" s="240">
        <f>IF(C30="","",LOOKUP($C30,'Cadastro de BC - Servidores'!$A$14:$AF$123))</f>
        <v>47.877999999999986</v>
      </c>
      <c r="K30" s="240">
        <f>IF(C30="","",LOOKUP($C30,'Cadastro de BC - Servidores'!$A$14:$AG$123))</f>
        <v>1762.1220000000001</v>
      </c>
      <c r="L30" s="309"/>
      <c r="M30" s="284"/>
      <c r="N30" s="284"/>
    </row>
    <row r="31" spans="1:14" s="231" customFormat="1" ht="30" customHeight="1" x14ac:dyDescent="0.25">
      <c r="B31" s="235">
        <f t="shared" si="0"/>
        <v>20</v>
      </c>
      <c r="C31" s="236">
        <v>55</v>
      </c>
      <c r="D31" s="384" t="str">
        <f>IF(C31="","",LOOKUP($C31,'Cadastro de BC - Servidores'!$A$14:$B$123))</f>
        <v>Carlos Roberto dos Santos</v>
      </c>
      <c r="E31" s="237" t="str">
        <f>IF(C31="","",LOOKUP($C31,'Cadastro de BC - Servidores'!$A$14:$D$123))</f>
        <v>Subcoordenadoria de Protocolo e Arquivo</v>
      </c>
      <c r="F31" s="237" t="str">
        <f>IF(C31="","",LOOKUP($C31,'Cadastro de BC - Servidores'!$A$14:$E$123))</f>
        <v>Agente Administrativo</v>
      </c>
      <c r="G31" s="238">
        <f>IF(C31="","",LOOKUP($C31,'Cadastro de BC - Servidores'!$A$14:$C$123))</f>
        <v>30117</v>
      </c>
      <c r="H31" s="239" t="str">
        <f>IF(C31="","",LOOKUP($C31,'Cadastro de BC - Servidores'!$A$14:$F$123))</f>
        <v>EF</v>
      </c>
      <c r="I31" s="240">
        <f>IF(C31="","",LOOKUP($C31,'Cadastro de BC - Servidores'!$A$14:$O$123))</f>
        <v>742.09999999999991</v>
      </c>
      <c r="J31" s="240">
        <f>IF(C31="","",LOOKUP($C31,'Cadastro de BC - Servidores'!$A$14:$AF$123))</f>
        <v>136.77325000000002</v>
      </c>
      <c r="K31" s="240">
        <f>IF(C31="","",LOOKUP($C31,'Cadastro de BC - Servidores'!$A$14:$AG$123))</f>
        <v>605.32674999999995</v>
      </c>
      <c r="L31" s="309"/>
      <c r="M31" s="284"/>
      <c r="N31" s="284"/>
    </row>
    <row r="32" spans="1:14" s="231" customFormat="1" ht="30" customHeight="1" x14ac:dyDescent="0.25">
      <c r="B32" s="235">
        <f t="shared" si="0"/>
        <v>21</v>
      </c>
      <c r="C32" s="236">
        <v>5</v>
      </c>
      <c r="D32" s="384" t="str">
        <f>IF(C32="","",LOOKUP($C32,'Cadastro de BC - Servidores'!$A$14:$B$123))</f>
        <v>Cinthia Rodrigues Neto</v>
      </c>
      <c r="E32" s="237" t="str">
        <f>IF(C32="","",LOOKUP($C32,'Cadastro de BC - Servidores'!$A$14:$D$123))</f>
        <v>Coordenadoria de Organismos de Inspeção GNV e Cargas Perigosas</v>
      </c>
      <c r="F32" s="237" t="str">
        <f>IF(C32="","",LOOKUP($C32,'Cadastro de BC - Servidores'!$A$14:$E$123))</f>
        <v xml:space="preserve">Diretora de Cordenadoria </v>
      </c>
      <c r="G32" s="238">
        <f>IF(C32="","",LOOKUP($C32,'Cadastro de BC - Servidores'!$A$14:$C$123))</f>
        <v>39344</v>
      </c>
      <c r="H32" s="239" t="str">
        <f>IF(C32="","",LOOKUP($C32,'Cadastro de BC - Servidores'!$A$14:$F$123))</f>
        <v>CC</v>
      </c>
      <c r="I32" s="240">
        <f>IF(C32="","",LOOKUP($C32,'Cadastro de BC - Servidores'!$A$14:$O$123))</f>
        <v>2715</v>
      </c>
      <c r="J32" s="240">
        <f>IF(C32="","",LOOKUP($C32,'Cadastro de BC - Servidores'!$A$14:$AF$123))</f>
        <v>474.80550000000011</v>
      </c>
      <c r="K32" s="240">
        <f>IF(C32="","",LOOKUP($C32,'Cadastro de BC - Servidores'!$A$14:$AG$123))</f>
        <v>2240.1945000000001</v>
      </c>
      <c r="L32" s="309"/>
      <c r="M32" s="284"/>
      <c r="N32" s="284"/>
    </row>
    <row r="33" spans="2:16" s="231" customFormat="1" ht="30" customHeight="1" x14ac:dyDescent="0.25">
      <c r="B33" s="235">
        <f t="shared" si="0"/>
        <v>22</v>
      </c>
      <c r="C33" s="236">
        <v>6</v>
      </c>
      <c r="D33" s="384" t="str">
        <f>IF(C33="","",LOOKUP($C33,'Cadastro de BC - Servidores'!$A$14:$B$123))</f>
        <v>Cristiane Barbosa Silva D. Freire</v>
      </c>
      <c r="E33" s="237" t="str">
        <f>IF(C33="","",LOOKUP($C33,'Cadastro de BC - Servidores'!$A$14:$D$123))</f>
        <v>Coordenadoria de Produtos Pré Medidos e Metrologia Científica</v>
      </c>
      <c r="F33" s="237" t="str">
        <f>IF(C33="","",LOOKUP($C33,'Cadastro de BC - Servidores'!$A$14:$E$123))</f>
        <v>Auxiliar de Gabinete</v>
      </c>
      <c r="G33" s="238">
        <f>IF(C33="","",LOOKUP($C33,'Cadastro de BC - Servidores'!$A$14:$C$123))</f>
        <v>39321</v>
      </c>
      <c r="H33" s="239" t="str">
        <f>IF(C33="","",LOOKUP($C33,'Cadastro de BC - Servidores'!$A$14:$F$123))</f>
        <v>CC</v>
      </c>
      <c r="I33" s="240">
        <f>IF(C33="","",LOOKUP($C33,'Cadastro de BC - Servidores'!$A$14:$O$123))</f>
        <v>2715</v>
      </c>
      <c r="J33" s="240">
        <f>IF(C33="","",LOOKUP($C33,'Cadastro de BC - Servidores'!$A$14:$AF$123))</f>
        <v>226.42649999999995</v>
      </c>
      <c r="K33" s="240">
        <f>IF(C33="","",LOOKUP($C33,'Cadastro de BC - Servidores'!$A$14:$AG$123))</f>
        <v>2488.5735</v>
      </c>
      <c r="L33" s="309"/>
      <c r="M33" s="284"/>
      <c r="N33" s="284"/>
    </row>
    <row r="34" spans="2:16" s="231" customFormat="1" ht="30" customHeight="1" x14ac:dyDescent="0.25">
      <c r="B34" s="235">
        <f t="shared" si="0"/>
        <v>23</v>
      </c>
      <c r="C34" s="236">
        <v>9</v>
      </c>
      <c r="D34" s="384" t="str">
        <f>IF(C34="","",LOOKUP($C34,'Cadastro de BC - Servidores'!$A$14:$B$123))</f>
        <v>Cristina Batista de Oliveira</v>
      </c>
      <c r="E34" s="237" t="str">
        <f>IF(C34="","",LOOKUP($C34,'Cadastro de BC - Servidores'!$A$14:$D$123))</f>
        <v>Gerência de Recursos Humanos</v>
      </c>
      <c r="F34" s="237" t="str">
        <f>IF(C34="","",LOOKUP($C34,'Cadastro de BC - Servidores'!$A$14:$E$123))</f>
        <v>Gerente de Recursos Humanos</v>
      </c>
      <c r="G34" s="238">
        <f>IF(C34="","",LOOKUP($C34,'Cadastro de BC - Servidores'!$A$14:$C$123))</f>
        <v>43262</v>
      </c>
      <c r="H34" s="239" t="str">
        <f>IF(C34="","",LOOKUP($C34,'Cadastro de BC - Servidores'!$A$14:$F$123))</f>
        <v>CC</v>
      </c>
      <c r="I34" s="240">
        <f>IF(C34="","",LOOKUP($C34,'Cadastro de BC - Servidores'!$A$14:$O$123))</f>
        <v>1991.0000000000002</v>
      </c>
      <c r="J34" s="240">
        <f>IF(C34="","",LOOKUP($C34,'Cadastro de BC - Servidores'!$A$14:$AF$123))</f>
        <v>291.12238000000008</v>
      </c>
      <c r="K34" s="240">
        <f>IF(C34="","",LOOKUP($C34,'Cadastro de BC - Servidores'!$A$14:$AG$123))</f>
        <v>1699.8776200000002</v>
      </c>
      <c r="L34" s="309"/>
      <c r="M34" s="284"/>
      <c r="N34" s="284"/>
    </row>
    <row r="35" spans="2:16" s="231" customFormat="1" ht="30" customHeight="1" x14ac:dyDescent="0.25">
      <c r="B35" s="235">
        <f t="shared" si="0"/>
        <v>24</v>
      </c>
      <c r="C35" s="236">
        <v>54</v>
      </c>
      <c r="D35" s="384" t="str">
        <f>IF(C35="","",LOOKUP($C35,'Cadastro de BC - Servidores'!$A$14:$B$123))</f>
        <v>Maria Angélica Felizola Leão</v>
      </c>
      <c r="E35" s="237" t="str">
        <f>IF(C35="","",LOOKUP($C35,'Cadastro de BC - Servidores'!$A$14:$D$123))</f>
        <v>Gerência de Recursos Humanos</v>
      </c>
      <c r="F35" s="237" t="str">
        <f>IF(C35="","",LOOKUP($C35,'Cadastro de BC - Servidores'!$A$14:$E$123))</f>
        <v>Assessor Extraordinário II</v>
      </c>
      <c r="G35" s="238">
        <f>IF(C35="","",LOOKUP($C35,'Cadastro de BC - Servidores'!$A$14:$C$123))</f>
        <v>44265</v>
      </c>
      <c r="H35" s="239" t="str">
        <f>IF(C35="","",LOOKUP($C35,'Cadastro de BC - Servidores'!$A$14:$F$123))</f>
        <v>CC</v>
      </c>
      <c r="I35" s="240">
        <f>IF(C35="","",LOOKUP($C35,'Cadastro de BC - Servidores'!$A$14:$O$123))</f>
        <v>742.09999999999991</v>
      </c>
      <c r="J35" s="240">
        <f>IF(C35="","",LOOKUP($C35,'Cadastro de BC - Servidores'!$A$14:$AF$123))</f>
        <v>55.657499999999978</v>
      </c>
      <c r="K35" s="240">
        <f>IF(C35="","",LOOKUP($C35,'Cadastro de BC - Servidores'!$A$14:$AG$123))</f>
        <v>686.44249999999988</v>
      </c>
      <c r="L35" s="309"/>
      <c r="M35" s="284"/>
      <c r="N35" s="284"/>
    </row>
    <row r="36" spans="2:16" s="231" customFormat="1" ht="30" customHeight="1" x14ac:dyDescent="0.25">
      <c r="B36" s="235">
        <f t="shared" si="0"/>
        <v>25</v>
      </c>
      <c r="C36" s="236">
        <v>29</v>
      </c>
      <c r="D36" s="384" t="str">
        <f>IF(C36="","",LOOKUP($C36,'Cadastro de BC - Servidores'!$A$14:$B$123))</f>
        <v>Leonardo Santos Lima</v>
      </c>
      <c r="E36" s="237" t="str">
        <f>IF(C36="","",LOOKUP($C36,'Cadastro de BC - Servidores'!$A$14:$D$123))</f>
        <v>Gerência de Apoio Administrativo</v>
      </c>
      <c r="F36" s="237" t="str">
        <f>IF(C36="","",LOOKUP($C36,'Cadastro de BC - Servidores'!$A$14:$E$123))</f>
        <v>Diretor II</v>
      </c>
      <c r="G36" s="238">
        <f>IF(C36="","",LOOKUP($C36,'Cadastro de BC - Servidores'!$A$14:$C$123))</f>
        <v>0</v>
      </c>
      <c r="H36" s="239" t="str">
        <f>IF(C36="","",LOOKUP($C36,'Cadastro de BC - Servidores'!$A$14:$F$123))</f>
        <v>CE</v>
      </c>
      <c r="I36" s="240">
        <f>IF(C36="","",LOOKUP($C36,'Cadastro de BC - Servidores'!$A$14:$O$123))</f>
        <v>742.09999999999991</v>
      </c>
      <c r="J36" s="240">
        <f>IF(C36="","",LOOKUP($C36,'Cadastro de BC - Servidores'!$A$14:$AF$123))</f>
        <v>55.657499999999978</v>
      </c>
      <c r="K36" s="240">
        <f>IF(C36="","",LOOKUP($C36,'Cadastro de BC - Servidores'!$A$14:$AG$123))</f>
        <v>686.44249999999988</v>
      </c>
      <c r="L36" s="309"/>
      <c r="M36" s="284"/>
      <c r="N36" s="284"/>
    </row>
    <row r="37" spans="2:16" s="231" customFormat="1" ht="30" customHeight="1" x14ac:dyDescent="0.25">
      <c r="B37" s="235">
        <f t="shared" si="0"/>
        <v>26</v>
      </c>
      <c r="C37" s="236">
        <v>32</v>
      </c>
      <c r="D37" s="384" t="str">
        <f>IF(C37="","",LOOKUP($C37,'Cadastro de BC - Servidores'!$A$14:$B$123))</f>
        <v>Deborah Sena França</v>
      </c>
      <c r="E37" s="237" t="str">
        <f>IF(C37="","",LOOKUP($C37,'Cadastro de BC - Servidores'!$A$14:$D$123))</f>
        <v>Gabinete da Presidência</v>
      </c>
      <c r="F37" s="237" t="str">
        <f>IF(C37="","",LOOKUP($C37,'Cadastro de BC - Servidores'!$A$14:$E$123))</f>
        <v>Diretor II</v>
      </c>
      <c r="G37" s="238">
        <f>IF(C37="","",LOOKUP($C37,'Cadastro de BC - Servidores'!$A$14:$C$123))</f>
        <v>43648</v>
      </c>
      <c r="H37" s="239" t="str">
        <f>IF(C37="","",LOOKUP($C37,'Cadastro de BC - Servidores'!$A$14:$F$123))</f>
        <v>CC</v>
      </c>
      <c r="I37" s="240">
        <f>IF(C37="","",LOOKUP($C37,'Cadastro de BC - Servidores'!$A$14:$O$123))</f>
        <v>814.50000000000011</v>
      </c>
      <c r="J37" s="240">
        <f>IF(C37="","",LOOKUP($C37,'Cadastro de BC - Servidores'!$A$14:$AF$123))</f>
        <v>61.087499999999991</v>
      </c>
      <c r="K37" s="240">
        <f>IF(C37="","",LOOKUP($C37,'Cadastro de BC - Servidores'!$A$14:$AG$123))</f>
        <v>753.41250000000014</v>
      </c>
      <c r="L37" s="309"/>
      <c r="M37" s="284"/>
      <c r="N37" s="284"/>
    </row>
    <row r="38" spans="2:16" s="231" customFormat="1" ht="30" customHeight="1" x14ac:dyDescent="0.25">
      <c r="B38" s="235">
        <f t="shared" si="0"/>
        <v>27</v>
      </c>
      <c r="C38" s="236">
        <v>26</v>
      </c>
      <c r="D38" s="384" t="str">
        <f>IF(C38="","",LOOKUP($C38,'Cadastro de BC - Servidores'!$A$14:$B$123))</f>
        <v>Eduardo José dos Santos Filho</v>
      </c>
      <c r="E38" s="237" t="str">
        <f>IF(C38="","",LOOKUP($C38,'Cadastro de BC - Servidores'!$A$14:$D$123))</f>
        <v>Gerência de Informática</v>
      </c>
      <c r="F38" s="237" t="str">
        <f>IF(C38="","",LOOKUP($C38,'Cadastro de BC - Servidores'!$A$14:$E$123))</f>
        <v>Técnico em Contabilidade</v>
      </c>
      <c r="G38" s="238" t="str">
        <f>IF(C38="","",LOOKUP($C38,'Cadastro de BC - Servidores'!$A$14:$C$123))</f>
        <v>28/061984</v>
      </c>
      <c r="H38" s="239" t="str">
        <f>IF(C38="","",LOOKUP($C38,'Cadastro de BC - Servidores'!$A$14:$F$123))</f>
        <v>CE</v>
      </c>
      <c r="I38" s="240">
        <f>IF(C38="","",LOOKUP($C38,'Cadastro de BC - Servidores'!$A$14:$O$123))</f>
        <v>742.09999999999991</v>
      </c>
      <c r="J38" s="240">
        <f>IF(C38="","",LOOKUP($C38,'Cadastro de BC - Servidores'!$A$14:$AF$123))</f>
        <v>166.97249999999997</v>
      </c>
      <c r="K38" s="240">
        <f>IF(C38="","",LOOKUP($C38,'Cadastro de BC - Servidores'!$A$14:$AG$123))</f>
        <v>575.12749999999994</v>
      </c>
      <c r="L38" s="309"/>
      <c r="M38" s="284"/>
      <c r="N38" s="284"/>
    </row>
    <row r="39" spans="2:16" s="231" customFormat="1" ht="30" customHeight="1" x14ac:dyDescent="0.25">
      <c r="B39" s="235">
        <f t="shared" si="0"/>
        <v>28</v>
      </c>
      <c r="C39" s="236">
        <v>4</v>
      </c>
      <c r="D39" s="384" t="str">
        <f>IF(C39="","",LOOKUP($C39,'Cadastro de BC - Servidores'!$A$14:$B$123))</f>
        <v>Edvânia Monteiro da Silva</v>
      </c>
      <c r="E39" s="237" t="str">
        <f>IF(C39="","",LOOKUP($C39,'Cadastro de BC - Servidores'!$A$14:$D$123))</f>
        <v>Coordenadoria de Metrologia Legal</v>
      </c>
      <c r="F39" s="237" t="str">
        <f>IF(C39="","",LOOKUP($C39,'Cadastro de BC - Servidores'!$A$14:$E$123))</f>
        <v>Auxiliar de Gabinete</v>
      </c>
      <c r="G39" s="238">
        <f>IF(C39="","",LOOKUP($C39,'Cadastro de BC - Servidores'!$A$14:$C$123))</f>
        <v>43514</v>
      </c>
      <c r="H39" s="239" t="str">
        <f>IF(C39="","",LOOKUP($C39,'Cadastro de BC - Servidores'!$A$14:$F$123))</f>
        <v>CC</v>
      </c>
      <c r="I39" s="240">
        <f>IF(C39="","",LOOKUP($C39,'Cadastro de BC - Servidores'!$A$14:$O$123))</f>
        <v>2081.5</v>
      </c>
      <c r="J39" s="240">
        <f>IF(C39="","",LOOKUP($C39,'Cadastro de BC - Servidores'!$A$14:$AF$123))</f>
        <v>308.46250000000003</v>
      </c>
      <c r="K39" s="240">
        <f>IF(C39="","",LOOKUP($C39,'Cadastro de BC - Servidores'!$A$14:$AG$123))</f>
        <v>1773.0374999999999</v>
      </c>
      <c r="L39" s="309"/>
      <c r="M39" s="284"/>
      <c r="N39" s="284"/>
    </row>
    <row r="40" spans="2:16" s="231" customFormat="1" ht="30" customHeight="1" x14ac:dyDescent="0.25">
      <c r="B40" s="235">
        <f t="shared" si="0"/>
        <v>29</v>
      </c>
      <c r="C40" s="236">
        <v>7</v>
      </c>
      <c r="D40" s="384" t="str">
        <f>IF(C40="","",LOOKUP($C40,'Cadastro de BC - Servidores'!$A$14:$B$123))</f>
        <v>Elba Cristiane de Souza Brandão</v>
      </c>
      <c r="E40" s="237" t="str">
        <f>IF(C40="","",LOOKUP($C40,'Cadastro de BC - Servidores'!$A$14:$D$123))</f>
        <v>Gerência de Metrologia</v>
      </c>
      <c r="F40" s="237" t="str">
        <f>IF(C40="","",LOOKUP($C40,'Cadastro de BC - Servidores'!$A$14:$E$123))</f>
        <v>Gerente de Metrologia</v>
      </c>
      <c r="G40" s="238">
        <f>IF(C40="","",LOOKUP($C40,'Cadastro de BC - Servidores'!$A$14:$C$123))</f>
        <v>40909</v>
      </c>
      <c r="H40" s="239" t="str">
        <f>IF(C40="","",LOOKUP($C40,'Cadastro de BC - Servidores'!$A$14:$F$123))</f>
        <v>CC</v>
      </c>
      <c r="I40" s="240">
        <f>IF(C40="","",LOOKUP($C40,'Cadastro de BC - Servidores'!$A$14:$O$123))</f>
        <v>2896</v>
      </c>
      <c r="J40" s="240">
        <f>IF(C40="","",LOOKUP($C40,'Cadastro de BC - Servidores'!$A$14:$AF$123))</f>
        <v>535.1690000000001</v>
      </c>
      <c r="K40" s="240">
        <f>IF(C40="","",LOOKUP($C40,'Cadastro de BC - Servidores'!$A$14:$AG$123))</f>
        <v>2360.8310000000001</v>
      </c>
      <c r="L40" s="309"/>
      <c r="M40" s="284"/>
      <c r="N40" s="284"/>
    </row>
    <row r="41" spans="2:16" s="231" customFormat="1" ht="30" customHeight="1" x14ac:dyDescent="0.25">
      <c r="B41" s="235">
        <f t="shared" si="0"/>
        <v>30</v>
      </c>
      <c r="C41" s="236">
        <v>56</v>
      </c>
      <c r="D41" s="384" t="str">
        <f>IF(C41="","",LOOKUP($C41,'Cadastro de BC - Servidores'!$A$14:$B$123))</f>
        <v>Eleilde Santos da Cruz</v>
      </c>
      <c r="E41" s="237" t="str">
        <f>IF(C41="","",LOOKUP($C41,'Cadastro de BC - Servidores'!$A$14:$D$123))</f>
        <v>Coordenadoria de Produtos Pré Medidos e Metrologia Científica</v>
      </c>
      <c r="F41" s="237" t="str">
        <f>IF(C41="","",LOOKUP($C41,'Cadastro de BC - Servidores'!$A$14:$E$123))</f>
        <v>Telefonista</v>
      </c>
      <c r="G41" s="238">
        <f>IF(C41="","",LOOKUP($C41,'Cadastro de BC - Servidores'!$A$14:$C$123))</f>
        <v>32295</v>
      </c>
      <c r="H41" s="239" t="str">
        <f>IF(C41="","",LOOKUP($C41,'Cadastro de BC - Servidores'!$A$14:$F$123))</f>
        <v>EF</v>
      </c>
      <c r="I41" s="240">
        <f>IF(C41="","",LOOKUP($C41,'Cadastro de BC - Servidores'!$A$14:$O$123))</f>
        <v>1357.5</v>
      </c>
      <c r="J41" s="240">
        <f>IF(C41="","",LOOKUP($C41,'Cadastro de BC - Servidores'!$A$14:$AF$123))</f>
        <v>341.26299999999992</v>
      </c>
      <c r="K41" s="240">
        <f>IF(C41="","",LOOKUP($C41,'Cadastro de BC - Servidores'!$A$14:$AG$123))</f>
        <v>1016.2370000000001</v>
      </c>
      <c r="L41" s="309"/>
      <c r="M41" s="284"/>
      <c r="N41" s="284"/>
    </row>
    <row r="42" spans="2:16" s="231" customFormat="1" ht="30" customHeight="1" x14ac:dyDescent="0.25">
      <c r="B42" s="235">
        <f t="shared" si="0"/>
        <v>31</v>
      </c>
      <c r="C42" s="236">
        <v>3</v>
      </c>
      <c r="D42" s="384" t="str">
        <f>IF(C42="","",LOOKUP($C42,'Cadastro de BC - Servidores'!$A$14:$B$123))</f>
        <v>Eloiza Karoline Alves Santos</v>
      </c>
      <c r="E42" s="237" t="str">
        <f>IF(C42="","",LOOKUP($C42,'Cadastro de BC - Servidores'!$A$14:$D$123))</f>
        <v>Subcoordenadoria de Protocolo e Arquivo</v>
      </c>
      <c r="F42" s="237" t="str">
        <f>IF(C42="","",LOOKUP($C42,'Cadastro de BC - Servidores'!$A$14:$E$123))</f>
        <v>Subcoordenador de Protocolo</v>
      </c>
      <c r="G42" s="238">
        <f>IF(C42="","",LOOKUP($C42,'Cadastro de BC - Servidores'!$A$14:$C$123))</f>
        <v>42835</v>
      </c>
      <c r="H42" s="239" t="str">
        <f>IF(C42="","",LOOKUP($C42,'Cadastro de BC - Servidores'!$A$14:$F$123))</f>
        <v>CC</v>
      </c>
      <c r="I42" s="240">
        <f>IF(C42="","",LOOKUP($C42,'Cadastro de BC - Servidores'!$A$14:$O$123))</f>
        <v>905</v>
      </c>
      <c r="J42" s="240">
        <f>IF(C42="","",LOOKUP($C42,'Cadastro de BC - Servidores'!$A$14:$AF$123))</f>
        <v>81.45</v>
      </c>
      <c r="K42" s="240">
        <f>IF(C42="","",LOOKUP($C42,'Cadastro de BC - Servidores'!$A$14:$AG$123))</f>
        <v>823.55</v>
      </c>
      <c r="L42" s="309"/>
      <c r="M42" s="284"/>
      <c r="N42" s="284"/>
    </row>
    <row r="43" spans="2:16" s="231" customFormat="1" ht="30" customHeight="1" x14ac:dyDescent="0.25">
      <c r="B43" s="235">
        <f t="shared" si="0"/>
        <v>32</v>
      </c>
      <c r="C43" s="236">
        <v>20</v>
      </c>
      <c r="D43" s="384" t="str">
        <f>IF(C43="","",LOOKUP($C43,'Cadastro de BC - Servidores'!$A$14:$B$123))</f>
        <v xml:space="preserve">Elvis Cardoso da Mota </v>
      </c>
      <c r="E43" s="237" t="str">
        <f>IF(C43="","",LOOKUP($C43,'Cadastro de BC - Servidores'!$A$14:$D$123))</f>
        <v>Coordenadoria de Transportes</v>
      </c>
      <c r="F43" s="237" t="str">
        <f>IF(C43="","",LOOKUP($C43,'Cadastro de BC - Servidores'!$A$14:$E$123))</f>
        <v>Coordenador de Transporte</v>
      </c>
      <c r="G43" s="238">
        <f>IF(C43="","",LOOKUP($C43,'Cadastro de BC - Servidores'!$A$14:$C$123))</f>
        <v>43382</v>
      </c>
      <c r="H43" s="239" t="str">
        <f>IF(C43="","",LOOKUP($C43,'Cadastro de BC - Servidores'!$A$14:$F$123))</f>
        <v>CC</v>
      </c>
      <c r="I43" s="240">
        <f>IF(C43="","",LOOKUP($C43,'Cadastro de BC - Servidores'!$A$14:$O$123))</f>
        <v>1339.4</v>
      </c>
      <c r="J43" s="240">
        <f>IF(C43="","",LOOKUP($C43,'Cadastro de BC - Servidores'!$A$14:$AF$123))</f>
        <v>136.87064999999996</v>
      </c>
      <c r="K43" s="240">
        <f>IF(C43="","",LOOKUP($C43,'Cadastro de BC - Servidores'!$A$14:$AG$123))</f>
        <v>1202.5293500000002</v>
      </c>
      <c r="L43" s="309"/>
      <c r="M43" s="284"/>
      <c r="N43" s="284"/>
    </row>
    <row r="44" spans="2:16" s="231" customFormat="1" ht="30" customHeight="1" x14ac:dyDescent="0.25">
      <c r="B44" s="235">
        <f t="shared" si="0"/>
        <v>33</v>
      </c>
      <c r="C44" s="236">
        <v>59</v>
      </c>
      <c r="D44" s="384" t="str">
        <f>IF(C44="","",LOOKUP($C44,'Cadastro de BC - Servidores'!$A$14:$B$123))</f>
        <v>Francisco Gonçalves dos S. Junior</v>
      </c>
      <c r="E44" s="237" t="str">
        <f>IF(C44="","",LOOKUP($C44,'Cadastro de BC - Servidores'!$A$14:$D$123))</f>
        <v>Coordenadoria de Metrologia Legal</v>
      </c>
      <c r="F44" s="237" t="str">
        <f>IF(C44="","",LOOKUP($C44,'Cadastro de BC - Servidores'!$A$14:$E$123))</f>
        <v>Tecnico em Edificações</v>
      </c>
      <c r="G44" s="238">
        <f>IF(C44="","",LOOKUP($C44,'Cadastro de BC - Servidores'!$A$14:$C$123))</f>
        <v>31475</v>
      </c>
      <c r="H44" s="239" t="str">
        <f>IF(C44="","",LOOKUP($C44,'Cadastro de BC - Servidores'!$A$14:$F$123))</f>
        <v>EF</v>
      </c>
      <c r="I44" s="240">
        <f>IF(C44="","",LOOKUP($C44,'Cadastro de BC - Servidores'!$A$14:$O$123))</f>
        <v>2081.5</v>
      </c>
      <c r="J44" s="240">
        <f>IF(C44="","",LOOKUP($C44,'Cadastro de BC - Servidores'!$A$14:$AF$123))</f>
        <v>427.3325000000001</v>
      </c>
      <c r="K44" s="240">
        <f>IF(C44="","",LOOKUP($C44,'Cadastro de BC - Servidores'!$A$14:$AG$123))</f>
        <v>1654.1675</v>
      </c>
      <c r="L44" s="309"/>
      <c r="M44" s="284"/>
      <c r="N44" s="284"/>
    </row>
    <row r="45" spans="2:16" s="231" customFormat="1" ht="30" customHeight="1" x14ac:dyDescent="0.25">
      <c r="B45" s="235">
        <f t="shared" ref="B45:B76" si="1">B44+1</f>
        <v>34</v>
      </c>
      <c r="C45" s="236">
        <v>88</v>
      </c>
      <c r="D45" s="384" t="str">
        <f>IF(C45="","",LOOKUP($C45,'Cadastro de BC - Servidores'!$A$14:$B$123))</f>
        <v xml:space="preserve">Gabriela Gonçalves Santos de Oliveira </v>
      </c>
      <c r="E45" s="237" t="str">
        <f>IF(C45="","",LOOKUP($C45,'Cadastro de BC - Servidores'!$A$14:$D$123))</f>
        <v>Procuradoria Jurídica</v>
      </c>
      <c r="F45" s="237" t="str">
        <f>IF(C45="","",LOOKUP($C45,'Cadastro de BC - Servidores'!$A$14:$E$123))</f>
        <v>Chefe de Procuradoria</v>
      </c>
      <c r="G45" s="238">
        <f>IF(C45="","",LOOKUP($C45,'Cadastro de BC - Servidores'!$A$14:$C$123))</f>
        <v>44256</v>
      </c>
      <c r="H45" s="239" t="str">
        <f>IF(C45="","",LOOKUP($C45,'Cadastro de BC - Servidores'!$A$14:$F$123))</f>
        <v>CC</v>
      </c>
      <c r="I45" s="240">
        <f>IF(C45="","",LOOKUP($C45,'Cadastro de BC - Servidores'!$A$14:$O$123))</f>
        <v>1991.0000000000002</v>
      </c>
      <c r="J45" s="240">
        <f>IF(C45="","",LOOKUP($C45,'Cadastro de BC - Servidores'!$A$14:$AF$123))</f>
        <v>358.56298000000004</v>
      </c>
      <c r="K45" s="240">
        <f>IF(C45="","",LOOKUP($C45,'Cadastro de BC - Servidores'!$A$14:$AG$123))</f>
        <v>1632.4370200000003</v>
      </c>
      <c r="L45" s="309"/>
      <c r="M45" s="284"/>
      <c r="N45" s="284"/>
    </row>
    <row r="46" spans="2:16" s="231" customFormat="1" ht="30" customHeight="1" x14ac:dyDescent="0.25">
      <c r="B46" s="235">
        <f t="shared" si="1"/>
        <v>35</v>
      </c>
      <c r="C46" s="236">
        <v>10</v>
      </c>
      <c r="D46" s="384" t="str">
        <f>IF(C46="","",LOOKUP($C46,'Cadastro de BC - Servidores'!$A$14:$B$123))</f>
        <v>Glauber Andrade Nunes</v>
      </c>
      <c r="E46" s="237" t="str">
        <f>IF(C46="","",LOOKUP($C46,'Cadastro de BC - Servidores'!$A$14:$D$123))</f>
        <v>Gerência de Informática</v>
      </c>
      <c r="F46" s="237" t="str">
        <f>IF(C46="","",LOOKUP($C46,'Cadastro de BC - Servidores'!$A$14:$E$123))</f>
        <v>Gerente de Informática</v>
      </c>
      <c r="G46" s="238">
        <f>IF(C46="","",LOOKUP($C46,'Cadastro de BC - Servidores'!$A$14:$C$123))</f>
        <v>35835</v>
      </c>
      <c r="H46" s="239" t="str">
        <f>IF(C46="","",LOOKUP($C46,'Cadastro de BC - Servidores'!$A$14:$F$123))</f>
        <v>CC</v>
      </c>
      <c r="I46" s="240">
        <f>IF(C46="","",LOOKUP($C46,'Cadastro de BC - Servidores'!$A$14:$O$123))</f>
        <v>2533.9999999999995</v>
      </c>
      <c r="J46" s="240">
        <f>IF(C46="","",LOOKUP($C46,'Cadastro de BC - Servidores'!$A$14:$AF$123))</f>
        <v>422.49249999999984</v>
      </c>
      <c r="K46" s="240">
        <f>IF(C46="","",LOOKUP($C46,'Cadastro de BC - Servidores'!$A$14:$AG$123))</f>
        <v>2111.5074999999997</v>
      </c>
      <c r="L46" s="309"/>
      <c r="M46" s="284"/>
      <c r="N46" s="284"/>
      <c r="P46" s="242"/>
    </row>
    <row r="47" spans="2:16" s="231" customFormat="1" ht="30" customHeight="1" x14ac:dyDescent="0.25">
      <c r="B47" s="235">
        <f t="shared" si="1"/>
        <v>36</v>
      </c>
      <c r="C47" s="236">
        <v>60</v>
      </c>
      <c r="D47" s="384" t="str">
        <f>IF(C47="","",LOOKUP($C47,'Cadastro de BC - Servidores'!$A$14:$B$123))</f>
        <v>Gláucia Maria Andrade Ferreira</v>
      </c>
      <c r="E47" s="237" t="str">
        <f>IF(C47="","",LOOKUP($C47,'Cadastro de BC - Servidores'!$A$14:$D$123))</f>
        <v>Gerência de Recursos Humanos</v>
      </c>
      <c r="F47" s="237" t="str">
        <f>IF(C47="","",LOOKUP($C47,'Cadastro de BC - Servidores'!$A$14:$E$123))</f>
        <v>Assistente Administrativo</v>
      </c>
      <c r="G47" s="238">
        <f>IF(C47="","",LOOKUP($C47,'Cadastro de BC - Servidores'!$A$14:$C$123))</f>
        <v>29738</v>
      </c>
      <c r="H47" s="239" t="str">
        <f>IF(C47="","",LOOKUP($C47,'Cadastro de BC - Servidores'!$A$14:$F$123))</f>
        <v>EF</v>
      </c>
      <c r="I47" s="240">
        <f>IF(C47="","",LOOKUP($C47,'Cadastro de BC - Servidores'!$A$14:$O$123))</f>
        <v>742.09999999999991</v>
      </c>
      <c r="J47" s="240">
        <f>IF(C47="","",LOOKUP($C47,'Cadastro de BC - Servidores'!$A$14:$AF$123))</f>
        <v>185.12699999999995</v>
      </c>
      <c r="K47" s="240">
        <f>IF(C47="","",LOOKUP($C47,'Cadastro de BC - Servidores'!$A$14:$AG$123))</f>
        <v>556.97299999999996</v>
      </c>
      <c r="L47" s="309"/>
      <c r="M47" s="284"/>
      <c r="N47" s="284"/>
    </row>
    <row r="48" spans="2:16" s="231" customFormat="1" ht="30" customHeight="1" x14ac:dyDescent="0.25">
      <c r="B48" s="235">
        <f t="shared" si="1"/>
        <v>37</v>
      </c>
      <c r="C48" s="236">
        <v>61</v>
      </c>
      <c r="D48" s="384" t="str">
        <f>IF(C48="","",LOOKUP($C48,'Cadastro de BC - Servidores'!$A$14:$B$123))</f>
        <v>Grace Cristina Almeida Fonseca</v>
      </c>
      <c r="E48" s="237" t="str">
        <f>IF(C48="","",LOOKUP($C48,'Cadastro de BC - Servidores'!$A$14:$D$123))</f>
        <v>Diretoria Administrativa e Financeira</v>
      </c>
      <c r="F48" s="237" t="str">
        <f>IF(C48="","",LOOKUP($C48,'Cadastro de BC - Servidores'!$A$14:$E$123))</f>
        <v>Oficial Administrativo</v>
      </c>
      <c r="G48" s="238">
        <f>IF(C48="","",LOOKUP($C48,'Cadastro de BC - Servidores'!$A$14:$C$123))</f>
        <v>32295</v>
      </c>
      <c r="H48" s="239" t="str">
        <f>IF(C48="","",LOOKUP($C48,'Cadastro de BC - Servidores'!$A$14:$F$123))</f>
        <v>EF</v>
      </c>
      <c r="I48" s="240">
        <f>IF(C48="","",LOOKUP($C48,'Cadastro de BC - Servidores'!$A$14:$O$123))</f>
        <v>1086</v>
      </c>
      <c r="J48" s="240">
        <f>IF(C48="","",LOOKUP($C48,'Cadastro de BC - Servidores'!$A$14:$AF$123))</f>
        <v>266.04400000000021</v>
      </c>
      <c r="K48" s="240">
        <f>IF(C48="","",LOOKUP($C48,'Cadastro de BC - Servidores'!$A$14:$AG$123))</f>
        <v>819.95599999999979</v>
      </c>
      <c r="L48" s="309"/>
      <c r="M48" s="284"/>
      <c r="N48" s="284"/>
    </row>
    <row r="49" spans="1:14" s="231" customFormat="1" ht="30" customHeight="1" x14ac:dyDescent="0.25">
      <c r="B49" s="235">
        <f t="shared" si="1"/>
        <v>38</v>
      </c>
      <c r="C49" s="236">
        <v>28</v>
      </c>
      <c r="D49" s="384" t="str">
        <f>IF(C49="","",LOOKUP($C49,'Cadastro de BC - Servidores'!$A$14:$B$123))</f>
        <v>Gustavo Silva de Araújo</v>
      </c>
      <c r="E49" s="237" t="str">
        <f>IF(C49="","",LOOKUP($C49,'Cadastro de BC - Servidores'!$A$14:$D$123))</f>
        <v>Gerência de Contabilidade e Finanças</v>
      </c>
      <c r="F49" s="237" t="str">
        <f>IF(C49="","",LOOKUP($C49,'Cadastro de BC - Servidores'!$A$14:$E$123))</f>
        <v>Oficial Administrativa</v>
      </c>
      <c r="G49" s="238">
        <f>IF(C49="","",LOOKUP($C49,'Cadastro de BC - Servidores'!$A$14:$C$123))</f>
        <v>39552</v>
      </c>
      <c r="H49" s="239" t="str">
        <f>IF(C49="","",LOOKUP($C49,'Cadastro de BC - Servidores'!$A$14:$F$123))</f>
        <v>CE</v>
      </c>
      <c r="I49" s="240">
        <f>IF(C49="","",LOOKUP($C49,'Cadastro de BC - Servidores'!$A$14:$O$123))</f>
        <v>2896</v>
      </c>
      <c r="J49" s="240">
        <f>IF(C49="","",LOOKUP($C49,'Cadastro de BC - Servidores'!$A$14:$AF$123))</f>
        <v>796.39999999999986</v>
      </c>
      <c r="K49" s="240">
        <f>IF(C49="","",LOOKUP($C49,'Cadastro de BC - Servidores'!$A$14:$AG$123))</f>
        <v>2099.6000000000004</v>
      </c>
      <c r="L49" s="309"/>
      <c r="M49" s="284"/>
      <c r="N49" s="284"/>
    </row>
    <row r="50" spans="1:14" s="231" customFormat="1" ht="30" customHeight="1" x14ac:dyDescent="0.25">
      <c r="B50" s="235">
        <f t="shared" si="1"/>
        <v>39</v>
      </c>
      <c r="C50" s="236">
        <v>62</v>
      </c>
      <c r="D50" s="384" t="str">
        <f>IF(C50="","",LOOKUP($C50,'Cadastro de BC - Servidores'!$A$14:$B$123))</f>
        <v>Irene Alves Campos Santana</v>
      </c>
      <c r="E50" s="237" t="str">
        <f>IF(C50="","",LOOKUP($C50,'Cadastro de BC - Servidores'!$A$14:$D$123))</f>
        <v>Gerência de Contabilidade e Finanças</v>
      </c>
      <c r="F50" s="237" t="str">
        <f>IF(C50="","",LOOKUP($C50,'Cadastro de BC - Servidores'!$A$14:$E$123))</f>
        <v>Tecnico em Contabilidade</v>
      </c>
      <c r="G50" s="238">
        <f>IF(C50="","",LOOKUP($C50,'Cadastro de BC - Servidores'!$A$14:$C$123))</f>
        <v>30579</v>
      </c>
      <c r="H50" s="239" t="str">
        <f>IF(C50="","",LOOKUP($C50,'Cadastro de BC - Servidores'!$A$14:$F$123))</f>
        <v>EF</v>
      </c>
      <c r="I50" s="240">
        <f>IF(C50="","",LOOKUP($C50,'Cadastro de BC - Servidores'!$A$14:$O$123))</f>
        <v>742.09999999999991</v>
      </c>
      <c r="J50" s="240">
        <f>IF(C50="","",LOOKUP($C50,'Cadastro de BC - Servidores'!$A$14:$AF$123))</f>
        <v>204.07749999999987</v>
      </c>
      <c r="K50" s="240">
        <f>IF(C50="","",LOOKUP($C50,'Cadastro de BC - Servidores'!$A$14:$AG$123))</f>
        <v>538.02250000000004</v>
      </c>
      <c r="L50" s="309"/>
      <c r="M50" s="284"/>
      <c r="N50" s="284"/>
    </row>
    <row r="51" spans="1:14" s="243" customFormat="1" ht="30" customHeight="1" x14ac:dyDescent="0.25">
      <c r="A51" s="231"/>
      <c r="B51" s="235">
        <f t="shared" si="1"/>
        <v>40</v>
      </c>
      <c r="C51" s="236">
        <v>64</v>
      </c>
      <c r="D51" s="384" t="str">
        <f>IF(C51="","",LOOKUP($C51,'Cadastro de BC - Servidores'!$A$14:$B$123))</f>
        <v xml:space="preserve">Izaura Augusta G. Mendonça </v>
      </c>
      <c r="E51" s="237" t="str">
        <f>IF(C51="","",LOOKUP($C51,'Cadastro de BC - Servidores'!$A$14:$D$123))</f>
        <v>Coordenadoria de Documentação e Inspeção</v>
      </c>
      <c r="F51" s="237" t="str">
        <f>IF(C51="","",LOOKUP($C51,'Cadastro de BC - Servidores'!$A$14:$E$123))</f>
        <v>Agente Administrativo</v>
      </c>
      <c r="G51" s="238">
        <f>IF(C51="","",LOOKUP($C51,'Cadastro de BC - Servidores'!$A$14:$C$123))</f>
        <v>30035</v>
      </c>
      <c r="H51" s="239" t="str">
        <f>IF(C51="","",LOOKUP($C51,'Cadastro de BC - Servidores'!$A$14:$F$123))</f>
        <v>EF</v>
      </c>
      <c r="I51" s="240">
        <f>IF(C51="","",LOOKUP($C51,'Cadastro de BC - Servidores'!$A$14:$O$123))</f>
        <v>1357.5</v>
      </c>
      <c r="J51" s="240">
        <f>IF(C51="","",LOOKUP($C51,'Cadastro de BC - Servidores'!$A$14:$AF$123))</f>
        <v>307.86500000000007</v>
      </c>
      <c r="K51" s="240">
        <f>IF(C51="","",LOOKUP($C51,'Cadastro de BC - Servidores'!$A$14:$AG$123))</f>
        <v>1049.635</v>
      </c>
      <c r="L51" s="309"/>
      <c r="M51" s="284"/>
      <c r="N51" s="284"/>
    </row>
    <row r="52" spans="1:14" s="243" customFormat="1" ht="30" customHeight="1" x14ac:dyDescent="0.25">
      <c r="A52" s="231"/>
      <c r="B52" s="235">
        <f t="shared" si="1"/>
        <v>41</v>
      </c>
      <c r="C52" s="236">
        <v>66</v>
      </c>
      <c r="D52" s="384" t="str">
        <f>IF(C52="","",LOOKUP($C52,'Cadastro de BC - Servidores'!$A$14:$B$123))</f>
        <v>Hilton Rubens Aragão Prado</v>
      </c>
      <c r="E52" s="237" t="str">
        <f>IF(C52="","",LOOKUP($C52,'Cadastro de BC - Servidores'!$A$14:$D$123))</f>
        <v>Coordenadoria de Transportes</v>
      </c>
      <c r="F52" s="237" t="str">
        <f>IF(C52="","",LOOKUP($C52,'Cadastro de BC - Servidores'!$A$14:$E$123))</f>
        <v>Agente Administrativo</v>
      </c>
      <c r="G52" s="238">
        <f>IF(C52="","",LOOKUP($C52,'Cadastro de BC - Servidores'!$A$14:$C$123))</f>
        <v>32343</v>
      </c>
      <c r="H52" s="239" t="str">
        <f>IF(C52="","",LOOKUP($C52,'Cadastro de BC - Servidores'!$A$14:$F$123))</f>
        <v>EF</v>
      </c>
      <c r="I52" s="240">
        <f>IF(C52="","",LOOKUP($C52,'Cadastro de BC - Servidores'!$A$14:$O$123))</f>
        <v>742.09999999999991</v>
      </c>
      <c r="J52" s="240">
        <f>IF(C52="","",LOOKUP($C52,'Cadastro de BC - Servidores'!$A$14:$AF$123))</f>
        <v>168.15050000000008</v>
      </c>
      <c r="K52" s="240">
        <f>IF(C52="","",LOOKUP($C52,'Cadastro de BC - Servidores'!$A$14:$AG$123))</f>
        <v>573.94949999999983</v>
      </c>
      <c r="L52" s="309"/>
      <c r="M52" s="284"/>
      <c r="N52" s="284"/>
    </row>
    <row r="53" spans="1:14" s="243" customFormat="1" ht="30" customHeight="1" x14ac:dyDescent="0.25">
      <c r="A53" s="231"/>
      <c r="B53" s="235">
        <f t="shared" si="1"/>
        <v>42</v>
      </c>
      <c r="C53" s="236">
        <v>65</v>
      </c>
      <c r="D53" s="384" t="str">
        <f>IF(C53="","",LOOKUP($C53,'Cadastro de BC - Servidores'!$A$14:$B$123))</f>
        <v>Jadson Dias da Silva*</v>
      </c>
      <c r="E53" s="237" t="str">
        <f>IF(C53="","",LOOKUP($C53,'Cadastro de BC - Servidores'!$A$14:$D$123))</f>
        <v>Coordenadoria de Metrologia Legal</v>
      </c>
      <c r="F53" s="237" t="str">
        <f>IF(C53="","",LOOKUP($C53,'Cadastro de BC - Servidores'!$A$14:$E$123))</f>
        <v>Auxiliar de Laboratório</v>
      </c>
      <c r="G53" s="238">
        <f>IF(C53="","",LOOKUP($C53,'Cadastro de BC - Servidores'!$A$14:$C$123))</f>
        <v>32295</v>
      </c>
      <c r="H53" s="239" t="str">
        <f>IF(C53="","",LOOKUP($C53,'Cadastro de BC - Servidores'!$A$14:$F$123))</f>
        <v>EF</v>
      </c>
      <c r="I53" s="240">
        <f>IF(C53="","",LOOKUP($C53,'Cadastro de BC - Servidores'!$A$14:$O$123))</f>
        <v>2715</v>
      </c>
      <c r="J53" s="240">
        <f>IF(C53="","",LOOKUP($C53,'Cadastro de BC - Servidores'!$A$14:$AF$123))</f>
        <v>843.95875000000024</v>
      </c>
      <c r="K53" s="240">
        <f>IF(C53="","",LOOKUP($C53,'Cadastro de BC - Servidores'!$A$14:$AG$123))</f>
        <v>1871.0412499999998</v>
      </c>
      <c r="L53" s="309"/>
      <c r="M53" s="284"/>
      <c r="N53" s="284"/>
    </row>
    <row r="54" spans="1:14" s="243" customFormat="1" ht="30" customHeight="1" x14ac:dyDescent="0.25">
      <c r="A54" s="231"/>
      <c r="B54" s="235">
        <f t="shared" si="1"/>
        <v>43</v>
      </c>
      <c r="C54" s="236">
        <v>31</v>
      </c>
      <c r="D54" s="384" t="str">
        <f>IF(C54="","",LOOKUP($C54,'Cadastro de BC - Servidores'!$A$14:$B$123))</f>
        <v>Joao Augusto Sizino Franco</v>
      </c>
      <c r="E54" s="237" t="str">
        <f>IF(C54="","",LOOKUP($C54,'Cadastro de BC - Servidores'!$A$14:$D$123))</f>
        <v>Coordenadoria de Metrologia Legal</v>
      </c>
      <c r="F54" s="237" t="str">
        <f>IF(C54="","",LOOKUP($C54,'Cadastro de BC - Servidores'!$A$14:$E$123))</f>
        <v>Oficial Administrativo</v>
      </c>
      <c r="G54" s="238">
        <f>IF(C54="","",LOOKUP($C54,'Cadastro de BC - Servidores'!$A$14:$C$123))</f>
        <v>31565</v>
      </c>
      <c r="H54" s="239" t="str">
        <f>IF(C54="","",LOOKUP($C54,'Cadastro de BC - Servidores'!$A$14:$F$123))</f>
        <v>CE</v>
      </c>
      <c r="I54" s="240">
        <f>IF(C54="","",LOOKUP($C54,'Cadastro de BC - Servidores'!$A$14:$O$123))</f>
        <v>2081.5</v>
      </c>
      <c r="J54" s="240">
        <f>IF(C54="","",LOOKUP($C54,'Cadastro de BC - Servidores'!$A$14:$AF$123))</f>
        <v>445.94875000000019</v>
      </c>
      <c r="K54" s="240">
        <f>IF(C54="","",LOOKUP($C54,'Cadastro de BC - Servidores'!$A$14:$AG$123))</f>
        <v>1635.5512499999998</v>
      </c>
      <c r="L54" s="309"/>
      <c r="M54" s="284"/>
      <c r="N54" s="284"/>
    </row>
    <row r="55" spans="1:14" s="243" customFormat="1" ht="30" customHeight="1" x14ac:dyDescent="0.25">
      <c r="A55" s="231"/>
      <c r="B55" s="235">
        <f t="shared" si="1"/>
        <v>44</v>
      </c>
      <c r="C55" s="236">
        <v>13</v>
      </c>
      <c r="D55" s="384" t="str">
        <f>IF(C55="","",LOOKUP($C55,'Cadastro de BC - Servidores'!$A$14:$B$123))</f>
        <v>João Trivan Pereira Guimarães</v>
      </c>
      <c r="E55" s="237" t="str">
        <f>IF(C55="","",LOOKUP($C55,'Cadastro de BC - Servidores'!$A$14:$D$123))</f>
        <v>Coordenadoria de Serviço de Atendimento ao Cliente</v>
      </c>
      <c r="F55" s="237" t="str">
        <f>IF(C55="","",LOOKUP($C55,'Cadastro de BC - Servidores'!$A$14:$E$123))</f>
        <v>Assessor Tecnico Administrativo I</v>
      </c>
      <c r="G55" s="238">
        <f>IF(C55="","",LOOKUP($C55,'Cadastro de BC - Servidores'!$A$14:$C$123))</f>
        <v>37696</v>
      </c>
      <c r="H55" s="239" t="str">
        <f>IF(C55="","",LOOKUP($C55,'Cadastro de BC - Servidores'!$A$14:$F$123))</f>
        <v>CC</v>
      </c>
      <c r="I55" s="240">
        <f>IF(C55="","",LOOKUP($C55,'Cadastro de BC - Servidores'!$A$14:$O$123))</f>
        <v>1176.5</v>
      </c>
      <c r="J55" s="240">
        <f>IF(C55="","",LOOKUP($C55,'Cadastro de BC - Servidores'!$A$14:$AF$123))</f>
        <v>88.237499999999983</v>
      </c>
      <c r="K55" s="240">
        <f>IF(C55="","",LOOKUP($C55,'Cadastro de BC - Servidores'!$A$14:$AG$123))</f>
        <v>1088.2625</v>
      </c>
      <c r="L55" s="309"/>
      <c r="M55" s="284"/>
      <c r="N55" s="284"/>
    </row>
    <row r="56" spans="1:14" s="243" customFormat="1" ht="30" customHeight="1" x14ac:dyDescent="0.25">
      <c r="A56" s="231"/>
      <c r="B56" s="235">
        <f t="shared" si="1"/>
        <v>45</v>
      </c>
      <c r="C56" s="236">
        <v>84</v>
      </c>
      <c r="D56" s="384" t="str">
        <f>IF(C56="","",LOOKUP($C56,'Cadastro de BC - Servidores'!$A$14:$B$123))</f>
        <v xml:space="preserve">Jorge Eduardo Alves Fontes </v>
      </c>
      <c r="E56" s="237" t="str">
        <f>IF(C56="","",LOOKUP($C56,'Cadastro de BC - Servidores'!$A$14:$D$123))</f>
        <v>Coordenadoria de Metrologia Legal</v>
      </c>
      <c r="F56" s="237" t="str">
        <f>IF(C56="","",LOOKUP($C56,'Cadastro de BC - Servidores'!$A$14:$E$123))</f>
        <v>Tecnico em Edificações</v>
      </c>
      <c r="G56" s="238">
        <f>IF(C56="","",LOOKUP($C56,'Cadastro de BC - Servidores'!$A$14:$C$123))</f>
        <v>31474</v>
      </c>
      <c r="H56" s="239" t="str">
        <f>IF(C56="","",LOOKUP($C56,'Cadastro de BC - Servidores'!$A$14:$F$123))</f>
        <v>EF</v>
      </c>
      <c r="I56" s="240">
        <f>IF(C56="","",LOOKUP($C56,'Cadastro de BC - Servidores'!$A$14:$O$123))</f>
        <v>2081.5</v>
      </c>
      <c r="J56" s="240">
        <f>IF(C56="","",LOOKUP($C56,'Cadastro de BC - Servidores'!$A$14:$AF$123))</f>
        <v>499.19250000000017</v>
      </c>
      <c r="K56" s="240">
        <f>IF(C56="","",LOOKUP($C56,'Cadastro de BC - Servidores'!$A$14:$AG$123))</f>
        <v>1582.3074999999999</v>
      </c>
      <c r="L56" s="309"/>
      <c r="M56" s="284"/>
      <c r="N56" s="284"/>
    </row>
    <row r="57" spans="1:14" s="243" customFormat="1" ht="30" customHeight="1" x14ac:dyDescent="0.25">
      <c r="A57" s="231"/>
      <c r="B57" s="235">
        <f t="shared" si="1"/>
        <v>46</v>
      </c>
      <c r="C57" s="236">
        <v>67</v>
      </c>
      <c r="D57" s="384" t="str">
        <f>IF(C57="","",LOOKUP($C57,'Cadastro de BC - Servidores'!$A$14:$B$123))</f>
        <v>José Adebaldo N. de Andrade</v>
      </c>
      <c r="E57" s="237" t="str">
        <f>IF(C57="","",LOOKUP($C57,'Cadastro de BC - Servidores'!$A$14:$D$123))</f>
        <v>Coordenadoria de Metrologia Legal</v>
      </c>
      <c r="F57" s="237" t="str">
        <f>IF(C57="","",LOOKUP($C57,'Cadastro de BC - Servidores'!$A$14:$E$123))</f>
        <v>Oficial Administrativo</v>
      </c>
      <c r="G57" s="238">
        <f>IF(C57="","",LOOKUP($C57,'Cadastro de BC - Servidores'!$A$14:$C$123))</f>
        <v>31240</v>
      </c>
      <c r="H57" s="239" t="str">
        <f>IF(C57="","",LOOKUP($C57,'Cadastro de BC - Servidores'!$A$14:$F$123))</f>
        <v>EF</v>
      </c>
      <c r="I57" s="240">
        <f>IF(C57="","",LOOKUP($C57,'Cadastro de BC - Servidores'!$A$14:$O$123))</f>
        <v>2715</v>
      </c>
      <c r="J57" s="240">
        <f>IF(C57="","",LOOKUP($C57,'Cadastro de BC - Servidores'!$A$14:$AF$123))</f>
        <v>741.73</v>
      </c>
      <c r="K57" s="240">
        <f>IF(C57="","",LOOKUP($C57,'Cadastro de BC - Servidores'!$A$14:$AG$123))</f>
        <v>1973.27</v>
      </c>
      <c r="L57" s="309"/>
      <c r="M57" s="284"/>
      <c r="N57" s="284"/>
    </row>
    <row r="58" spans="1:14" s="243" customFormat="1" ht="30" customHeight="1" x14ac:dyDescent="0.25">
      <c r="A58" s="231"/>
      <c r="B58" s="235">
        <f t="shared" si="1"/>
        <v>47</v>
      </c>
      <c r="C58" s="236">
        <v>33</v>
      </c>
      <c r="D58" s="384" t="str">
        <f>IF(C58="","",LOOKUP($C58,'Cadastro de BC - Servidores'!$A$14:$B$123))</f>
        <v>Jose Augusto Gois Felipe</v>
      </c>
      <c r="E58" s="237" t="str">
        <f>IF(C58="","",LOOKUP($C58,'Cadastro de BC - Servidores'!$A$14:$D$123))</f>
        <v>Gerência Executiva de Metrologia, Normalização e Qualidade Industrial</v>
      </c>
      <c r="F58" s="237" t="str">
        <f>IF(C58="","",LOOKUP($C58,'Cadastro de BC - Servidores'!$A$14:$E$123))</f>
        <v>Agente Administrativo</v>
      </c>
      <c r="G58" s="238">
        <f>IF(C58="","",LOOKUP($C58,'Cadastro de BC - Servidores'!$A$14:$C$123))</f>
        <v>30536</v>
      </c>
      <c r="H58" s="239" t="str">
        <f>IF(C58="","",LOOKUP($C58,'Cadastro de BC - Servidores'!$A$14:$F$123))</f>
        <v>CE</v>
      </c>
      <c r="I58" s="240">
        <f>IF(C58="","",LOOKUP($C58,'Cadastro de BC - Servidores'!$A$14:$O$123))</f>
        <v>742.09999999999991</v>
      </c>
      <c r="J58" s="240">
        <f>IF(C58="","",LOOKUP($C58,'Cadastro de BC - Servidores'!$A$14:$AF$123))</f>
        <v>178.38099999999997</v>
      </c>
      <c r="K58" s="240">
        <f>IF(C58="","",LOOKUP($C58,'Cadastro de BC - Servidores'!$A$14:$AG$123))</f>
        <v>563.71899999999994</v>
      </c>
      <c r="L58" s="309"/>
      <c r="M58" s="284"/>
      <c r="N58" s="284"/>
    </row>
    <row r="59" spans="1:14" s="243" customFormat="1" ht="30" customHeight="1" x14ac:dyDescent="0.25">
      <c r="A59" s="231"/>
      <c r="B59" s="235">
        <f t="shared" si="1"/>
        <v>48</v>
      </c>
      <c r="C59" s="236">
        <v>68</v>
      </c>
      <c r="D59" s="384" t="str">
        <f>IF(C59="","",LOOKUP($C59,'Cadastro de BC - Servidores'!$A$14:$B$123))</f>
        <v>José Carlos Bezerra Brás</v>
      </c>
      <c r="E59" s="237" t="str">
        <f>IF(C59="","",LOOKUP($C59,'Cadastro de BC - Servidores'!$A$14:$D$123))</f>
        <v>Gabinete da Presidência</v>
      </c>
      <c r="F59" s="237" t="str">
        <f>IF(C59="","",LOOKUP($C59,'Cadastro de BC - Servidores'!$A$14:$E$123))</f>
        <v>Motorista</v>
      </c>
      <c r="G59" s="238">
        <f>IF(C59="","",LOOKUP($C59,'Cadastro de BC - Servidores'!$A$14:$C$123))</f>
        <v>30073</v>
      </c>
      <c r="H59" s="239" t="str">
        <f>IF(C59="","",LOOKUP($C59,'Cadastro de BC - Servidores'!$A$14:$F$123))</f>
        <v>EF</v>
      </c>
      <c r="I59" s="240">
        <f>IF(C59="","",LOOKUP($C59,'Cadastro de BC - Servidores'!$A$14:$O$123))</f>
        <v>1448</v>
      </c>
      <c r="J59" s="240">
        <f>IF(C59="","",LOOKUP($C59,'Cadastro de BC - Servidores'!$A$14:$AF$123))</f>
        <v>294.03750000000008</v>
      </c>
      <c r="K59" s="240">
        <f>IF(C59="","",LOOKUP($C59,'Cadastro de BC - Servidores'!$A$14:$AG$123))</f>
        <v>1153.9624999999999</v>
      </c>
      <c r="L59" s="309"/>
      <c r="M59" s="284"/>
      <c r="N59" s="284"/>
    </row>
    <row r="60" spans="1:14" s="243" customFormat="1" ht="30" customHeight="1" x14ac:dyDescent="0.25">
      <c r="A60" s="231"/>
      <c r="B60" s="235">
        <f t="shared" si="1"/>
        <v>49</v>
      </c>
      <c r="C60" s="236">
        <v>69</v>
      </c>
      <c r="D60" s="384" t="str">
        <f>IF(C60="","",LOOKUP($C60,'Cadastro de BC - Servidores'!$A$14:$B$123))</f>
        <v>José Euzébio F. dos Santos</v>
      </c>
      <c r="E60" s="237" t="str">
        <f>IF(C60="","",LOOKUP($C60,'Cadastro de BC - Servidores'!$A$14:$D$123))</f>
        <v>Coordenadoria de Metrologia Legal</v>
      </c>
      <c r="F60" s="237" t="str">
        <f>IF(C60="","",LOOKUP($C60,'Cadastro de BC - Servidores'!$A$14:$E$123))</f>
        <v>Oficial Administrativo</v>
      </c>
      <c r="G60" s="238">
        <f>IF(C60="","",LOOKUP($C60,'Cadastro de BC - Servidores'!$A$14:$C$123))</f>
        <v>31061</v>
      </c>
      <c r="H60" s="239" t="str">
        <f>IF(C60="","",LOOKUP($C60,'Cadastro de BC - Servidores'!$A$14:$F$123))</f>
        <v>EF</v>
      </c>
      <c r="I60" s="240">
        <f>IF(C60="","",LOOKUP($C60,'Cadastro de BC - Servidores'!$A$14:$O$123))</f>
        <v>2715</v>
      </c>
      <c r="J60" s="240">
        <f>IF(C60="","",LOOKUP($C60,'Cadastro de BC - Servidores'!$A$14:$AF$123))</f>
        <v>669.85000000000036</v>
      </c>
      <c r="K60" s="240">
        <f>IF(C60="","",LOOKUP($C60,'Cadastro de BC - Servidores'!$A$14:$AG$123))</f>
        <v>2045.1499999999996</v>
      </c>
      <c r="L60" s="309"/>
      <c r="M60" s="284"/>
      <c r="N60" s="284"/>
    </row>
    <row r="61" spans="1:14" s="243" customFormat="1" ht="30" customHeight="1" x14ac:dyDescent="0.25">
      <c r="A61" s="231"/>
      <c r="B61" s="235">
        <f t="shared" si="1"/>
        <v>50</v>
      </c>
      <c r="C61" s="236">
        <v>70</v>
      </c>
      <c r="D61" s="384" t="str">
        <f>IF(C61="","",LOOKUP($C61,'Cadastro de BC - Servidores'!$A$14:$B$123))</f>
        <v>José Luiz dos Santos Ramos</v>
      </c>
      <c r="E61" s="237" t="str">
        <f>IF(C61="","",LOOKUP($C61,'Cadastro de BC - Servidores'!$A$14:$D$123))</f>
        <v>Coordenadoria de Serviço de Atendimento ao Cliente</v>
      </c>
      <c r="F61" s="237" t="str">
        <f>IF(C61="","",LOOKUP($C61,'Cadastro de BC - Servidores'!$A$14:$E$123))</f>
        <v>Oficial Administrativo</v>
      </c>
      <c r="G61" s="238">
        <f>IF(C61="","",LOOKUP($C61,'Cadastro de BC - Servidores'!$A$14:$C$123))</f>
        <v>31579</v>
      </c>
      <c r="H61" s="239" t="str">
        <f>IF(C61="","",LOOKUP($C61,'Cadastro de BC - Servidores'!$A$14:$F$123))</f>
        <v>EF</v>
      </c>
      <c r="I61" s="240">
        <f>IF(C61="","",LOOKUP($C61,'Cadastro de BC - Servidores'!$A$14:$O$123))</f>
        <v>1810</v>
      </c>
      <c r="J61" s="240">
        <f>IF(C61="","",LOOKUP($C61,'Cadastro de BC - Servidores'!$A$14:$AF$123))</f>
        <v>460.24550000000011</v>
      </c>
      <c r="K61" s="240">
        <f>IF(C61="","",LOOKUP($C61,'Cadastro de BC - Servidores'!$A$14:$AG$123))</f>
        <v>1349.7545</v>
      </c>
      <c r="L61" s="309"/>
      <c r="M61" s="284"/>
      <c r="N61" s="284"/>
    </row>
    <row r="62" spans="1:14" s="243" customFormat="1" ht="30" customHeight="1" x14ac:dyDescent="0.25">
      <c r="A62" s="231"/>
      <c r="B62" s="235">
        <f t="shared" si="1"/>
        <v>51</v>
      </c>
      <c r="C62" s="236">
        <v>71</v>
      </c>
      <c r="D62" s="384" t="str">
        <f>IF(C62="","",LOOKUP($C62,'Cadastro de BC - Servidores'!$A$14:$B$123))</f>
        <v>José Ramos Figueiredo Filho</v>
      </c>
      <c r="E62" s="237" t="str">
        <f>IF(C62="","",LOOKUP($C62,'Cadastro de BC - Servidores'!$A$14:$D$123))</f>
        <v>Coordenadoria de Metrologia Legal</v>
      </c>
      <c r="F62" s="237" t="str">
        <f>IF(C62="","",LOOKUP($C62,'Cadastro de BC - Servidores'!$A$14:$E$123))</f>
        <v>Oficial Administrativo</v>
      </c>
      <c r="G62" s="238">
        <f>IF(C62="","",LOOKUP($C62,'Cadastro de BC - Servidores'!$A$14:$C$123))</f>
        <v>31579</v>
      </c>
      <c r="H62" s="239" t="str">
        <f>IF(C62="","",LOOKUP($C62,'Cadastro de BC - Servidores'!$A$14:$F$123))</f>
        <v>EF</v>
      </c>
      <c r="I62" s="240">
        <f>IF(C62="","",LOOKUP($C62,'Cadastro de BC - Servidores'!$A$14:$O$123))</f>
        <v>2715</v>
      </c>
      <c r="J62" s="240">
        <f>IF(C62="","",LOOKUP($C62,'Cadastro de BC - Servidores'!$A$14:$AF$123))</f>
        <v>741.73</v>
      </c>
      <c r="K62" s="240">
        <f>IF(C62="","",LOOKUP($C62,'Cadastro de BC - Servidores'!$A$14:$AG$123))</f>
        <v>1973.27</v>
      </c>
      <c r="L62" s="309"/>
      <c r="M62" s="284"/>
      <c r="N62" s="284"/>
    </row>
    <row r="63" spans="1:14" s="243" customFormat="1" ht="30" customHeight="1" x14ac:dyDescent="0.25">
      <c r="A63" s="231"/>
      <c r="B63" s="235">
        <f t="shared" si="1"/>
        <v>52</v>
      </c>
      <c r="C63" s="236">
        <v>40</v>
      </c>
      <c r="D63" s="384" t="str">
        <f>IF(C63="","",LOOKUP($C63,'Cadastro de BC - Servidores'!$A$14:$B$123))</f>
        <v>José Serafim Bastos F. de Souza</v>
      </c>
      <c r="E63" s="237" t="str">
        <f>IF(C63="","",LOOKUP($C63,'Cadastro de BC - Servidores'!$A$14:$D$123))</f>
        <v>Coordenadoria de Metrologia Legal</v>
      </c>
      <c r="F63" s="237" t="str">
        <f>IF(C63="","",LOOKUP($C63,'Cadastro de BC - Servidores'!$A$14:$E$123))</f>
        <v>Motorista</v>
      </c>
      <c r="G63" s="238">
        <f>IF(C63="","",LOOKUP($C63,'Cadastro de BC - Servidores'!$A$14:$C$123))</f>
        <v>33259</v>
      </c>
      <c r="H63" s="239" t="str">
        <f>IF(C63="","",LOOKUP($C63,'Cadastro de BC - Servidores'!$A$14:$F$123))</f>
        <v>CE</v>
      </c>
      <c r="I63" s="240">
        <f>IF(C63="","",LOOKUP($C63,'Cadastro de BC - Servidores'!$A$14:$O$123))</f>
        <v>2081.5</v>
      </c>
      <c r="J63" s="240">
        <f>IF(C63="","",LOOKUP($C63,'Cadastro de BC - Servidores'!$A$14:$AF$123))</f>
        <v>212.10800000000006</v>
      </c>
      <c r="K63" s="240">
        <f>IF(C63="","",LOOKUP($C63,'Cadastro de BC - Servidores'!$A$14:$AG$123))</f>
        <v>1869.3919999999998</v>
      </c>
      <c r="L63" s="309"/>
      <c r="M63" s="284"/>
      <c r="N63" s="284"/>
    </row>
    <row r="64" spans="1:14" s="243" customFormat="1" ht="30" customHeight="1" x14ac:dyDescent="0.25">
      <c r="A64" s="231"/>
      <c r="B64" s="235">
        <f t="shared" si="1"/>
        <v>53</v>
      </c>
      <c r="C64" s="236">
        <v>34</v>
      </c>
      <c r="D64" s="384" t="str">
        <f>IF(C64="","",LOOKUP($C64,'Cadastro de BC - Servidores'!$A$14:$B$123))</f>
        <v xml:space="preserve">Andrea Santana Campos </v>
      </c>
      <c r="E64" s="237" t="str">
        <f>IF(C64="","",LOOKUP($C64,'Cadastro de BC - Servidores'!$A$14:$D$123))</f>
        <v>Gerência de Contabilidade e Finanças</v>
      </c>
      <c r="F64" s="237" t="str">
        <f>IF(C64="","",LOOKUP($C64,'Cadastro de BC - Servidores'!$A$14:$E$123))</f>
        <v>Contador</v>
      </c>
      <c r="G64" s="238">
        <f>IF(C64="","",LOOKUP($C64,'Cadastro de BC - Servidores'!$A$14:$C$123))</f>
        <v>45478</v>
      </c>
      <c r="H64" s="239" t="str">
        <f>IF(C64="","",LOOKUP($C64,'Cadastro de BC - Servidores'!$A$14:$F$123))</f>
        <v>CE</v>
      </c>
      <c r="I64" s="240">
        <f>IF(C64="","",LOOKUP($C64,'Cadastro de BC - Servidores'!$A$14:$O$123))</f>
        <v>1086</v>
      </c>
      <c r="J64" s="240">
        <f>IF(C64="","",LOOKUP($C64,'Cadastro de BC - Servidores'!$A$14:$AF$123))</f>
        <v>176.43550000000005</v>
      </c>
      <c r="K64" s="240">
        <f>IF(C64="","",LOOKUP($C64,'Cadastro de BC - Servidores'!$A$14:$AG$123))</f>
        <v>909.56449999999995</v>
      </c>
      <c r="L64" s="309"/>
      <c r="M64" s="284"/>
      <c r="N64" s="284"/>
    </row>
    <row r="65" spans="1:14" s="243" customFormat="1" ht="30" customHeight="1" x14ac:dyDescent="0.25">
      <c r="A65" s="231"/>
      <c r="B65" s="235">
        <f t="shared" si="1"/>
        <v>54</v>
      </c>
      <c r="C65" s="236">
        <v>19</v>
      </c>
      <c r="D65" s="384" t="str">
        <f>IF(C65="","",LOOKUP($C65,'Cadastro de BC - Servidores'!$A$14:$B$123))</f>
        <v>Livia Felix Campos</v>
      </c>
      <c r="E65" s="237" t="str">
        <f>IF(C65="","",LOOKUP($C65,'Cadastro de BC - Servidores'!$A$14:$D$123))</f>
        <v>Gerência de Apoio Administrativo</v>
      </c>
      <c r="F65" s="237" t="str">
        <f>IF(C65="","",LOOKUP($C65,'Cadastro de BC - Servidores'!$A$14:$E$123))</f>
        <v>Assessor Técnico Administrativo I</v>
      </c>
      <c r="G65" s="238">
        <f>IF(C65="","",LOOKUP($C65,'Cadastro de BC - Servidores'!$A$14:$C$123))</f>
        <v>43313</v>
      </c>
      <c r="H65" s="239" t="str">
        <f>IF(C65="","",LOOKUP($C65,'Cadastro de BC - Servidores'!$A$14:$F$123))</f>
        <v>CC</v>
      </c>
      <c r="I65" s="240">
        <f>IF(C65="","",LOOKUP($C65,'Cadastro de BC - Servidores'!$A$14:$O$123))</f>
        <v>1357.5</v>
      </c>
      <c r="J65" s="240">
        <f>IF(C65="","",LOOKUP($C65,'Cadastro de BC - Servidores'!$A$14:$AF$123))</f>
        <v>140.23724999999996</v>
      </c>
      <c r="K65" s="240">
        <f>IF(C65="","",LOOKUP($C65,'Cadastro de BC - Servidores'!$A$14:$AG$123))</f>
        <v>1217.2627500000001</v>
      </c>
      <c r="L65" s="309"/>
      <c r="M65" s="284"/>
      <c r="N65" s="284"/>
    </row>
    <row r="66" spans="1:14" s="243" customFormat="1" ht="30" customHeight="1" x14ac:dyDescent="0.25">
      <c r="A66" s="231"/>
      <c r="B66" s="235">
        <f t="shared" si="1"/>
        <v>55</v>
      </c>
      <c r="C66" s="236">
        <v>25</v>
      </c>
      <c r="D66" s="384" t="str">
        <f>IF(C66="","",LOOKUP($C66,'Cadastro de BC - Servidores'!$A$14:$B$123))</f>
        <v>Lucia Calumby Barreto de Mecedo</v>
      </c>
      <c r="E66" s="237" t="str">
        <f>IF(C66="","",LOOKUP($C66,'Cadastro de BC - Servidores'!$A$14:$D$123))</f>
        <v>Diretoria Técnica</v>
      </c>
      <c r="F66" s="237" t="str">
        <f>IF(C66="","",LOOKUP($C66,'Cadastro de BC - Servidores'!$A$14:$E$123))</f>
        <v>Química Industrial</v>
      </c>
      <c r="G66" s="238">
        <f>IF(C66="","",LOOKUP($C66,'Cadastro de BC - Servidores'!$A$14:$C$123))</f>
        <v>31546</v>
      </c>
      <c r="H66" s="239" t="str">
        <f>IF(C66="","",LOOKUP($C66,'Cadastro de BC - Servidores'!$A$14:$F$123))</f>
        <v>CE</v>
      </c>
      <c r="I66" s="240">
        <f>IF(C66="","",LOOKUP($C66,'Cadastro de BC - Servidores'!$A$14:$O$123))</f>
        <v>4163</v>
      </c>
      <c r="J66" s="240">
        <f>IF(C66="","",LOOKUP($C66,'Cadastro de BC - Servidores'!$A$14:$AF$123))</f>
        <v>1144.8250000000012</v>
      </c>
      <c r="K66" s="240">
        <f>IF(C66="","",LOOKUP($C66,'Cadastro de BC - Servidores'!$A$14:$AG$123))</f>
        <v>3018.1749999999988</v>
      </c>
      <c r="L66" s="309"/>
      <c r="M66" s="284"/>
      <c r="N66" s="284"/>
    </row>
    <row r="67" spans="1:14" s="243" customFormat="1" ht="30" customHeight="1" x14ac:dyDescent="0.25">
      <c r="A67" s="231"/>
      <c r="B67" s="235">
        <f t="shared" si="1"/>
        <v>56</v>
      </c>
      <c r="C67" s="236">
        <v>72</v>
      </c>
      <c r="D67" s="384" t="str">
        <f>IF(C67="","",LOOKUP($C67,'Cadastro de BC - Servidores'!$A$14:$B$123))</f>
        <v>Kleverton Carlos Mendonca Nascimento</v>
      </c>
      <c r="E67" s="237" t="str">
        <f>IF(C67="","",LOOKUP($C67,'Cadastro de BC - Servidores'!$A$14:$D$123))</f>
        <v>Coordenadoria de Metrologia Legal</v>
      </c>
      <c r="F67" s="237" t="str">
        <f>IF(C67="","",LOOKUP($C67,'Cadastro de BC - Servidores'!$A$14:$E$123))</f>
        <v>Diretor I</v>
      </c>
      <c r="G67" s="238">
        <f>IF(C67="","",LOOKUP($C67,'Cadastro de BC - Servidores'!$A$14:$C$123))</f>
        <v>0</v>
      </c>
      <c r="H67" s="239" t="str">
        <f>IF(C67="","",LOOKUP($C67,'Cadastro de BC - Servidores'!$A$14:$F$123))</f>
        <v>CC</v>
      </c>
      <c r="I67" s="240">
        <f>IF(C67="","",LOOKUP($C67,'Cadastro de BC - Servidores'!$A$14:$O$123))</f>
        <v>2081.5</v>
      </c>
      <c r="J67" s="240">
        <f>IF(C67="","",LOOKUP($C67,'Cadastro de BC - Servidores'!$A$14:$AF$123))</f>
        <v>164.56499999999997</v>
      </c>
      <c r="K67" s="240">
        <f>IF(C67="","",LOOKUP($C67,'Cadastro de BC - Servidores'!$A$14:$AG$123))</f>
        <v>1916.9349999999999</v>
      </c>
      <c r="L67" s="309"/>
      <c r="M67" s="284"/>
      <c r="N67" s="284"/>
    </row>
    <row r="68" spans="1:14" s="243" customFormat="1" ht="30" customHeight="1" x14ac:dyDescent="0.25">
      <c r="A68" s="231"/>
      <c r="B68" s="235">
        <f t="shared" si="1"/>
        <v>57</v>
      </c>
      <c r="C68" s="236">
        <v>14</v>
      </c>
      <c r="D68" s="384" t="str">
        <f>IF(C68="","",LOOKUP($C68,'Cadastro de BC - Servidores'!$A$14:$B$123))</f>
        <v>Luis Adriano Silva de Melo</v>
      </c>
      <c r="E68" s="237" t="str">
        <f>IF(C68="","",LOOKUP($C68,'Cadastro de BC - Servidores'!$A$14:$D$123))</f>
        <v>Coordenadoria de Metrologia Legal</v>
      </c>
      <c r="F68" s="237" t="str">
        <f>IF(C68="","",LOOKUP($C68,'Cadastro de BC - Servidores'!$A$14:$E$123))</f>
        <v>Auxiliar de Gabinete</v>
      </c>
      <c r="G68" s="238">
        <f>IF(C68="","",LOOKUP($C68,'Cadastro de BC - Servidores'!$A$14:$C$123))</f>
        <v>40696</v>
      </c>
      <c r="H68" s="239" t="str">
        <f>IF(C68="","",LOOKUP($C68,'Cadastro de BC - Servidores'!$A$14:$F$123))</f>
        <v>CC</v>
      </c>
      <c r="I68" s="240">
        <f>IF(C68="","",LOOKUP($C68,'Cadastro de BC - Servidores'!$A$14:$O$123))</f>
        <v>2081.5</v>
      </c>
      <c r="J68" s="240">
        <f>IF(C68="","",LOOKUP($C68,'Cadastro de BC - Servidores'!$A$14:$AF$123))</f>
        <v>164.56499999999997</v>
      </c>
      <c r="K68" s="240">
        <f>IF(C68="","",LOOKUP($C68,'Cadastro de BC - Servidores'!$A$14:$AG$123))</f>
        <v>1916.9349999999999</v>
      </c>
      <c r="L68" s="309"/>
      <c r="M68" s="284"/>
      <c r="N68" s="284"/>
    </row>
    <row r="69" spans="1:14" s="243" customFormat="1" ht="30" customHeight="1" x14ac:dyDescent="0.25">
      <c r="A69" s="231"/>
      <c r="B69" s="235">
        <f t="shared" si="1"/>
        <v>58</v>
      </c>
      <c r="C69" s="236">
        <v>73</v>
      </c>
      <c r="D69" s="384" t="str">
        <f>IF(C69="","",LOOKUP($C69,'Cadastro de BC - Servidores'!$A$14:$B$123))</f>
        <v xml:space="preserve">Luiz Alberto Passos Santos </v>
      </c>
      <c r="E69" s="237" t="str">
        <f>IF(C69="","",LOOKUP($C69,'Cadastro de BC - Servidores'!$A$14:$D$123))</f>
        <v>Coordenadoria de Metrologia Legal</v>
      </c>
      <c r="F69" s="237" t="str">
        <f>IF(C69="","",LOOKUP($C69,'Cadastro de BC - Servidores'!$A$14:$E$123))</f>
        <v>Motorista</v>
      </c>
      <c r="G69" s="238">
        <f>IF(C69="","",LOOKUP($C69,'Cadastro de BC - Servidores'!$A$14:$C$123))</f>
        <v>29677</v>
      </c>
      <c r="H69" s="239" t="str">
        <f>IF(C69="","",LOOKUP($C69,'Cadastro de BC - Servidores'!$A$14:$F$123))</f>
        <v>EF</v>
      </c>
      <c r="I69" s="240">
        <f>IF(C69="","",LOOKUP($C69,'Cadastro de BC - Servidores'!$A$14:$O$123))</f>
        <v>2172</v>
      </c>
      <c r="J69" s="240">
        <f>IF(C69="","",LOOKUP($C69,'Cadastro de BC - Servidores'!$A$14:$AF$123))</f>
        <v>275.44550000000004</v>
      </c>
      <c r="K69" s="240">
        <f>IF(C69="","",LOOKUP($C69,'Cadastro de BC - Servidores'!$A$14:$AG$123))</f>
        <v>1896.5545</v>
      </c>
      <c r="L69" s="309"/>
      <c r="M69" s="284"/>
      <c r="N69" s="284"/>
    </row>
    <row r="70" spans="1:14" s="243" customFormat="1" ht="30" customHeight="1" x14ac:dyDescent="0.25">
      <c r="A70" s="231"/>
      <c r="B70" s="235">
        <f t="shared" si="1"/>
        <v>59</v>
      </c>
      <c r="C70" s="236">
        <v>15</v>
      </c>
      <c r="D70" s="384" t="str">
        <f>IF(C70="","",LOOKUP($C70,'Cadastro de BC - Servidores'!$A$14:$B$123))</f>
        <v>Luziane Cavalcante Ferreira</v>
      </c>
      <c r="E70" s="237" t="str">
        <f>IF(C70="","",LOOKUP($C70,'Cadastro de BC - Servidores'!$A$14:$D$123))</f>
        <v>Centro de Memória e Tecnologia de Sergipe</v>
      </c>
      <c r="F70" s="237" t="str">
        <f>IF(C70="","",LOOKUP($C70,'Cadastro de BC - Servidores'!$A$14:$E$123))</f>
        <v>Subcoordenador do Centro de Memórias</v>
      </c>
      <c r="G70" s="238">
        <f>IF(C70="","",LOOKUP($C70,'Cadastro de BC - Servidores'!$A$14:$C$123))</f>
        <v>43262</v>
      </c>
      <c r="H70" s="239" t="str">
        <f>IF(C70="","",LOOKUP($C70,'Cadastro de BC - Servidores'!$A$14:$F$123))</f>
        <v>CC</v>
      </c>
      <c r="I70" s="240">
        <f>IF(C70="","",LOOKUP($C70,'Cadastro de BC - Servidores'!$A$14:$O$123))</f>
        <v>905</v>
      </c>
      <c r="J70" s="240">
        <f>IF(C70="","",LOOKUP($C70,'Cadastro de BC - Servidores'!$A$14:$AF$123))</f>
        <v>104.64824999999993</v>
      </c>
      <c r="K70" s="240">
        <f>IF(C70="","",LOOKUP($C70,'Cadastro de BC - Servidores'!$A$14:$AG$123))</f>
        <v>800.35175000000004</v>
      </c>
      <c r="L70" s="309"/>
      <c r="M70" s="284"/>
      <c r="N70" s="284"/>
    </row>
    <row r="71" spans="1:14" s="243" customFormat="1" ht="30" customHeight="1" x14ac:dyDescent="0.25">
      <c r="A71" s="231"/>
      <c r="B71" s="235">
        <f t="shared" si="1"/>
        <v>60</v>
      </c>
      <c r="C71" s="236">
        <v>11</v>
      </c>
      <c r="D71" s="384" t="str">
        <f>IF(C71="","",LOOKUP($C71,'Cadastro de BC - Servidores'!$A$14:$B$123))</f>
        <v xml:space="preserve">Maianne Mirelle Costa Santos </v>
      </c>
      <c r="E71" s="237" t="str">
        <f>IF(C71="","",LOOKUP($C71,'Cadastro de BC - Servidores'!$A$14:$D$123))</f>
        <v>Gerência de Apoio Administrativo</v>
      </c>
      <c r="F71" s="237" t="str">
        <f>IF(C71="","",LOOKUP($C71,'Cadastro de BC - Servidores'!$A$14:$E$123))</f>
        <v>Gerente de Apoio Administrativo</v>
      </c>
      <c r="G71" s="238">
        <f>IF(C71="","",LOOKUP($C71,'Cadastro de BC - Servidores'!$A$14:$C$123))</f>
        <v>43313</v>
      </c>
      <c r="H71" s="239" t="str">
        <f>IF(C71="","",LOOKUP($C71,'Cadastro de BC - Servidores'!$A$14:$F$123))</f>
        <v>CC</v>
      </c>
      <c r="I71" s="240">
        <f>IF(C71="","",LOOKUP($C71,'Cadastro de BC - Servidores'!$A$14:$O$123))</f>
        <v>1991.0000000000002</v>
      </c>
      <c r="J71" s="240">
        <f>IF(C71="","",LOOKUP($C71,'Cadastro de BC - Servidores'!$A$14:$AF$123))</f>
        <v>328.13938000000002</v>
      </c>
      <c r="K71" s="240">
        <f>IF(C71="","",LOOKUP($C71,'Cadastro de BC - Servidores'!$A$14:$AG$123))</f>
        <v>1662.8606200000002</v>
      </c>
      <c r="L71" s="309"/>
      <c r="M71" s="284"/>
      <c r="N71" s="284"/>
    </row>
    <row r="72" spans="1:14" s="243" customFormat="1" ht="30" customHeight="1" x14ac:dyDescent="0.25">
      <c r="A72" s="231"/>
      <c r="B72" s="235">
        <f t="shared" si="1"/>
        <v>61</v>
      </c>
      <c r="C72" s="236">
        <v>95</v>
      </c>
      <c r="D72" s="384" t="str">
        <f>IF(C72="","",LOOKUP($C72,'Cadastro de BC - Servidores'!$A$14:$B$123))</f>
        <v>Manoel Lisboa Feitosa Júnior</v>
      </c>
      <c r="E72" s="237" t="str">
        <f>IF(C72="","",LOOKUP($C72,'Cadastro de BC - Servidores'!$A$14:$D$123))</f>
        <v>Coordenadoria de Servços Gerais</v>
      </c>
      <c r="F72" s="237" t="str">
        <f>IF(C72="","",LOOKUP($C72,'Cadastro de BC - Servidores'!$A$14:$E$123))</f>
        <v>Coordenador de Serviços gerais</v>
      </c>
      <c r="G72" s="238">
        <f>IF(C72="","",LOOKUP($C72,'Cadastro de BC - Servidores'!$A$14:$C$123))</f>
        <v>43262</v>
      </c>
      <c r="H72" s="239" t="str">
        <f>IF(C72="","",LOOKUP($C72,'Cadastro de BC - Servidores'!$A$14:$F$123))</f>
        <v>CC</v>
      </c>
      <c r="I72" s="240">
        <f>IF(C72="","",LOOKUP($C72,'Cadastro de BC - Servidores'!$A$14:$O$123))</f>
        <v>2081.5</v>
      </c>
      <c r="J72" s="240">
        <f>IF(C72="","",LOOKUP($C72,'Cadastro de BC - Servidores'!$A$14:$AF$123))</f>
        <v>308.46250000000003</v>
      </c>
      <c r="K72" s="240">
        <f>IF(C72="","",LOOKUP($C72,'Cadastro de BC - Servidores'!$A$14:$AG$123))</f>
        <v>1773.0374999999999</v>
      </c>
      <c r="L72" s="309"/>
      <c r="M72" s="284"/>
      <c r="N72" s="284"/>
    </row>
    <row r="73" spans="1:14" s="243" customFormat="1" ht="30" customHeight="1" x14ac:dyDescent="0.25">
      <c r="A73" s="231"/>
      <c r="B73" s="235">
        <f t="shared" si="1"/>
        <v>62</v>
      </c>
      <c r="C73" s="236">
        <v>74</v>
      </c>
      <c r="D73" s="384" t="str">
        <f>IF(C73="","",LOOKUP($C73,'Cadastro de BC - Servidores'!$A$14:$B$123))</f>
        <v>Manoel Luiz de Andrade</v>
      </c>
      <c r="E73" s="237" t="str">
        <f>IF(C73="","",LOOKUP($C73,'Cadastro de BC - Servidores'!$A$14:$D$123))</f>
        <v>Procuradoria Jurídica</v>
      </c>
      <c r="F73" s="237" t="str">
        <f>IF(C73="","",LOOKUP($C73,'Cadastro de BC - Servidores'!$A$14:$E$123))</f>
        <v>Professor de Educação Básica</v>
      </c>
      <c r="G73" s="238">
        <f>IF(C73="","",LOOKUP($C73,'Cadastro de BC - Servidores'!$A$14:$C$123))</f>
        <v>31594</v>
      </c>
      <c r="H73" s="239" t="str">
        <f>IF(C73="","",LOOKUP($C73,'Cadastro de BC - Servidores'!$A$14:$F$123))</f>
        <v>CE</v>
      </c>
      <c r="I73" s="240">
        <f>IF(C73="","",LOOKUP($C73,'Cadastro de BC - Servidores'!$A$14:$O$123))</f>
        <v>742.09999999999991</v>
      </c>
      <c r="J73" s="240">
        <f>IF(C73="","",LOOKUP($C73,'Cadastro de BC - Servidores'!$A$14:$AF$123))</f>
        <v>204.07750000000033</v>
      </c>
      <c r="K73" s="240">
        <f>IF(C73="","",LOOKUP($C73,'Cadastro de BC - Servidores'!$A$14:$AG$123))</f>
        <v>538.02249999999958</v>
      </c>
      <c r="L73" s="309"/>
      <c r="M73" s="284"/>
      <c r="N73" s="284"/>
    </row>
    <row r="74" spans="1:14" s="243" customFormat="1" ht="30" customHeight="1" x14ac:dyDescent="0.25">
      <c r="A74" s="231"/>
      <c r="B74" s="235">
        <f t="shared" si="1"/>
        <v>63</v>
      </c>
      <c r="C74" s="236">
        <v>35</v>
      </c>
      <c r="D74" s="384" t="str">
        <f>IF(C74="","",LOOKUP($C74,'Cadastro de BC - Servidores'!$A$14:$B$123))</f>
        <v>Alan Gabriel Santos Ribeiro</v>
      </c>
      <c r="E74" s="237" t="str">
        <f>IF(C74="","",LOOKUP($C74,'Cadastro de BC - Servidores'!$A$14:$D$123))</f>
        <v>Assoria de Comunicação</v>
      </c>
      <c r="F74" s="237" t="str">
        <f>IF(C74="","",LOOKUP($C74,'Cadastro de BC - Servidores'!$A$14:$E$123))</f>
        <v xml:space="preserve">Diretor de Coordenadoria </v>
      </c>
      <c r="G74" s="238">
        <f>IF(C74="","",LOOKUP($C74,'Cadastro de BC - Servidores'!$A$14:$C$123))</f>
        <v>45748</v>
      </c>
      <c r="H74" s="239" t="str">
        <f>IF(C74="","",LOOKUP($C74,'Cadastro de BC - Servidores'!$A$14:$F$123))</f>
        <v>CC</v>
      </c>
      <c r="I74" s="240">
        <f>IF(C74="","",LOOKUP($C74,'Cadastro de BC - Servidores'!$A$14:$O$123))</f>
        <v>1176.5</v>
      </c>
      <c r="J74" s="240">
        <f>IF(C74="","",LOOKUP($C74,'Cadastro de BC - Servidores'!$A$14:$AF$123))</f>
        <v>109.332375</v>
      </c>
      <c r="K74" s="240">
        <f>IF(C74="","",LOOKUP($C74,'Cadastro de BC - Servidores'!$A$14:$AG$123))</f>
        <v>1067.167625</v>
      </c>
      <c r="L74" s="309"/>
      <c r="M74" s="284"/>
      <c r="N74" s="284"/>
    </row>
    <row r="75" spans="1:14" s="243" customFormat="1" ht="30" customHeight="1" x14ac:dyDescent="0.25">
      <c r="A75" s="231"/>
      <c r="B75" s="235">
        <f t="shared" si="1"/>
        <v>64</v>
      </c>
      <c r="C75" s="236">
        <v>93</v>
      </c>
      <c r="D75" s="384" t="str">
        <f>IF(C75="","",LOOKUP($C75,'Cadastro de BC - Servidores'!$A$14:$B$123))</f>
        <v>Marcela Costa Ribeiro Santos</v>
      </c>
      <c r="E75" s="237" t="str">
        <f>IF(C75="","",LOOKUP($C75,'Cadastro de BC - Servidores'!$A$14:$D$123))</f>
        <v>Procuradoria Jurídica</v>
      </c>
      <c r="F75" s="237" t="str">
        <f>IF(C75="","",LOOKUP($C75,'Cadastro de BC - Servidores'!$A$14:$E$123))</f>
        <v xml:space="preserve">Assessor Executivo Para Assuntos Tec. Legislativo </v>
      </c>
      <c r="G75" s="238">
        <f>IF(C75="","",LOOKUP($C75,'Cadastro de BC - Servidores'!$A$14:$C$123))</f>
        <v>43282</v>
      </c>
      <c r="H75" s="239" t="str">
        <f>IF(C75="","",LOOKUP($C75,'Cadastro de BC - Servidores'!$A$14:$F$123))</f>
        <v>CC</v>
      </c>
      <c r="I75" s="240">
        <f>IF(C75="","",LOOKUP($C75,'Cadastro de BC - Servidores'!$A$14:$O$123))</f>
        <v>1357.5</v>
      </c>
      <c r="J75" s="240">
        <f>IF(C75="","",LOOKUP($C75,'Cadastro de BC - Servidores'!$A$14:$AF$123))</f>
        <v>101.81249999999997</v>
      </c>
      <c r="K75" s="240">
        <f>IF(C75="","",LOOKUP($C75,'Cadastro de BC - Servidores'!$A$14:$AG$123))</f>
        <v>1255.6875</v>
      </c>
      <c r="L75" s="309"/>
      <c r="M75" s="284"/>
      <c r="N75" s="284"/>
    </row>
    <row r="76" spans="1:14" s="243" customFormat="1" ht="30" customHeight="1" x14ac:dyDescent="0.25">
      <c r="A76" s="231"/>
      <c r="B76" s="235">
        <f t="shared" si="1"/>
        <v>65</v>
      </c>
      <c r="C76" s="236">
        <v>37</v>
      </c>
      <c r="D76" s="384" t="str">
        <f>IF(C76="","",LOOKUP($C76,'Cadastro de BC - Servidores'!$A$14:$B$123))</f>
        <v>Itamar Sandes Santos</v>
      </c>
      <c r="E76" s="237" t="str">
        <f>IF(C76="","",LOOKUP($C76,'Cadastro de BC - Servidores'!$A$14:$D$123))</f>
        <v>Assessoria Geral de Planejamento</v>
      </c>
      <c r="F76" s="237" t="str">
        <f>IF(C76="","",LOOKUP($C76,'Cadastro de BC - Servidores'!$A$14:$E$123))</f>
        <v>Especialista em Políticas Publicas e Gestão Governamental</v>
      </c>
      <c r="G76" s="238">
        <f>IF(C76="","",LOOKUP($C76,'Cadastro de BC - Servidores'!$A$14:$C$123))</f>
        <v>0</v>
      </c>
      <c r="H76" s="239" t="str">
        <f>IF(C76="","",LOOKUP($C76,'Cadastro de BC - Servidores'!$A$14:$F$123))</f>
        <v>CC</v>
      </c>
      <c r="I76" s="240">
        <f>IF(C76="","",LOOKUP($C76,'Cadastro de BC - Servidores'!$A$14:$O$123))</f>
        <v>2533.9999999999995</v>
      </c>
      <c r="J76" s="240">
        <f>IF(C76="","",LOOKUP($C76,'Cadastro de BC - Servidores'!$A$14:$AF$123))</f>
        <v>785.13630999999998</v>
      </c>
      <c r="K76" s="240">
        <f>IF(C76="","",LOOKUP($C76,'Cadastro de BC - Servidores'!$A$14:$AG$123))</f>
        <v>1748.8636899999997</v>
      </c>
      <c r="L76" s="309"/>
      <c r="M76" s="284"/>
      <c r="N76" s="284"/>
    </row>
    <row r="77" spans="1:14" s="243" customFormat="1" ht="30" customHeight="1" x14ac:dyDescent="0.25">
      <c r="A77" s="231"/>
      <c r="B77" s="235">
        <f t="shared" ref="B77:B105" si="2">B76+1</f>
        <v>66</v>
      </c>
      <c r="C77" s="236">
        <v>75</v>
      </c>
      <c r="D77" s="384" t="str">
        <f>IF(C77="","",LOOKUP($C77,'Cadastro de BC - Servidores'!$A$14:$B$123))</f>
        <v>Maria Inêz de Almeida Machado</v>
      </c>
      <c r="E77" s="237" t="str">
        <f>IF(C77="","",LOOKUP($C77,'Cadastro de BC - Servidores'!$A$14:$D$123))</f>
        <v>Gerência Executiva de Metrologia, Normalização e Qualidade Industrial</v>
      </c>
      <c r="F77" s="237" t="str">
        <f>IF(C77="","",LOOKUP($C77,'Cadastro de BC - Servidores'!$A$14:$E$123))</f>
        <v>Químico Industrial</v>
      </c>
      <c r="G77" s="238">
        <f>IF(C77="","",LOOKUP($C77,'Cadastro de BC - Servidores'!$A$14:$C$123))</f>
        <v>32294</v>
      </c>
      <c r="H77" s="239" t="str">
        <f>IF(C77="","",LOOKUP($C77,'Cadastro de BC - Servidores'!$A$14:$F$123))</f>
        <v>EF</v>
      </c>
      <c r="I77" s="240">
        <f>IF(C77="","",LOOKUP($C77,'Cadastro de BC - Servidores'!$A$14:$O$123))</f>
        <v>3891.4999999999995</v>
      </c>
      <c r="J77" s="240">
        <f>IF(C77="","",LOOKUP($C77,'Cadastro de BC - Servidores'!$A$14:$AF$123))</f>
        <v>1070.1624999999999</v>
      </c>
      <c r="K77" s="240">
        <f>IF(C77="","",LOOKUP($C77,'Cadastro de BC - Servidores'!$A$14:$AG$123))</f>
        <v>2821.3374999999996</v>
      </c>
      <c r="L77" s="309"/>
      <c r="M77" s="284"/>
      <c r="N77" s="284"/>
    </row>
    <row r="78" spans="1:14" s="243" customFormat="1" ht="30" customHeight="1" x14ac:dyDescent="0.25">
      <c r="A78" s="231"/>
      <c r="B78" s="235">
        <f t="shared" si="2"/>
        <v>67</v>
      </c>
      <c r="C78" s="236">
        <v>76</v>
      </c>
      <c r="D78" s="384" t="str">
        <f>IF(C78="","",LOOKUP($C78,'Cadastro de BC - Servidores'!$A$14:$B$123))</f>
        <v>Maria Jucileide S. F. Almeida</v>
      </c>
      <c r="E78" s="237" t="str">
        <f>IF(C78="","",LOOKUP($C78,'Cadastro de BC - Servidores'!$A$14:$D$123))</f>
        <v>Coordenadoria de Metrologia Legal</v>
      </c>
      <c r="F78" s="237" t="str">
        <f>IF(C78="","",LOOKUP($C78,'Cadastro de BC - Servidores'!$A$14:$E$123))</f>
        <v>Tecnico em Químico</v>
      </c>
      <c r="G78" s="238">
        <f>IF(C78="","",LOOKUP($C78,'Cadastro de BC - Servidores'!$A$14:$C$123))</f>
        <v>32295</v>
      </c>
      <c r="H78" s="239" t="str">
        <f>IF(C78="","",LOOKUP($C78,'Cadastro de BC - Servidores'!$A$14:$F$123))</f>
        <v>EF</v>
      </c>
      <c r="I78" s="240">
        <f>IF(C78="","",LOOKUP($C78,'Cadastro de BC - Servidores'!$A$14:$O$123))</f>
        <v>2715</v>
      </c>
      <c r="J78" s="240">
        <f>IF(C78="","",LOOKUP($C78,'Cadastro de BC - Servidores'!$A$14:$AF$123))</f>
        <v>732.64700000000005</v>
      </c>
      <c r="K78" s="240">
        <f>IF(C78="","",LOOKUP($C78,'Cadastro de BC - Servidores'!$A$14:$AG$123))</f>
        <v>1982.3530000000001</v>
      </c>
      <c r="L78" s="309"/>
      <c r="M78" s="284"/>
      <c r="N78" s="284"/>
    </row>
    <row r="79" spans="1:14" s="243" customFormat="1" ht="30" customHeight="1" x14ac:dyDescent="0.25">
      <c r="A79" s="231"/>
      <c r="B79" s="235">
        <f t="shared" si="2"/>
        <v>68</v>
      </c>
      <c r="C79" s="236">
        <v>77</v>
      </c>
      <c r="D79" s="384" t="str">
        <f>IF(C79="","",LOOKUP($C79,'Cadastro de BC - Servidores'!$A$14:$B$123))</f>
        <v>Maria Lenalda Alves S. Azevedo</v>
      </c>
      <c r="E79" s="237" t="str">
        <f>IF(C79="","",LOOKUP($C79,'Cadastro de BC - Servidores'!$A$14:$D$123))</f>
        <v>Procuradoria Jurídica</v>
      </c>
      <c r="F79" s="237" t="str">
        <f>IF(C79="","",LOOKUP($C79,'Cadastro de BC - Servidores'!$A$14:$E$123))</f>
        <v>Tecnico em Contabilidade</v>
      </c>
      <c r="G79" s="238">
        <f>IF(C79="","",LOOKUP($C79,'Cadastro de BC - Servidores'!$A$14:$C$123))</f>
        <v>31474</v>
      </c>
      <c r="H79" s="239" t="str">
        <f>IF(C79="","",LOOKUP($C79,'Cadastro de BC - Servidores'!$A$14:$F$123))</f>
        <v>EF</v>
      </c>
      <c r="I79" s="240">
        <f>IF(C79="","",LOOKUP($C79,'Cadastro de BC - Servidores'!$A$14:$O$123))</f>
        <v>1719.5</v>
      </c>
      <c r="J79" s="240">
        <f>IF(C79="","",LOOKUP($C79,'Cadastro de BC - Servidores'!$A$14:$AF$123))</f>
        <v>433.77549999999997</v>
      </c>
      <c r="K79" s="240">
        <f>IF(C79="","",LOOKUP($C79,'Cadastro de BC - Servidores'!$A$14:$AG$123))</f>
        <v>1285.7245</v>
      </c>
      <c r="L79" s="309"/>
      <c r="M79" s="284"/>
      <c r="N79" s="284"/>
    </row>
    <row r="80" spans="1:14" s="243" customFormat="1" ht="30" customHeight="1" x14ac:dyDescent="0.25">
      <c r="A80" s="231"/>
      <c r="B80" s="235">
        <f t="shared" si="2"/>
        <v>69</v>
      </c>
      <c r="C80" s="236">
        <v>78</v>
      </c>
      <c r="D80" s="384" t="str">
        <f>IF(C80="","",LOOKUP($C80,'Cadastro de BC - Servidores'!$A$14:$B$123))</f>
        <v>Maria Lucia dos Santos Ferreira</v>
      </c>
      <c r="E80" s="237" t="str">
        <f>IF(C80="","",LOOKUP($C80,'Cadastro de BC - Servidores'!$A$14:$D$123))</f>
        <v>Coordenadoria de Serviços Gerais</v>
      </c>
      <c r="F80" s="237" t="str">
        <f>IF(C80="","",LOOKUP($C80,'Cadastro de BC - Servidores'!$A$14:$E$123))</f>
        <v>Asssistente Administrativo</v>
      </c>
      <c r="G80" s="238">
        <f>IF(C80="","",LOOKUP($C80,'Cadastro de BC - Servidores'!$A$14:$C$123))</f>
        <v>31240</v>
      </c>
      <c r="H80" s="239" t="str">
        <f>IF(C80="","",LOOKUP($C80,'Cadastro de BC - Servidores'!$A$14:$F$123))</f>
        <v>EF</v>
      </c>
      <c r="I80" s="240">
        <f>IF(C80="","",LOOKUP($C80,'Cadastro de BC - Servidores'!$A$14:$O$123))</f>
        <v>742.09999999999991</v>
      </c>
      <c r="J80" s="240">
        <f>IF(C80="","",LOOKUP($C80,'Cadastro de BC - Servidores'!$A$14:$AF$123))</f>
        <v>204.07749999999987</v>
      </c>
      <c r="K80" s="240">
        <f>IF(C80="","",LOOKUP($C80,'Cadastro de BC - Servidores'!$A$14:$AG$123))</f>
        <v>538.02250000000004</v>
      </c>
      <c r="L80" s="309"/>
      <c r="M80" s="284"/>
      <c r="N80" s="284"/>
    </row>
    <row r="81" spans="1:14" s="243" customFormat="1" ht="30" customHeight="1" x14ac:dyDescent="0.25">
      <c r="A81" s="231"/>
      <c r="B81" s="235">
        <f t="shared" si="2"/>
        <v>70</v>
      </c>
      <c r="C81" s="236">
        <v>79</v>
      </c>
      <c r="D81" s="384" t="str">
        <f>IF(C81="","",LOOKUP($C81,'Cadastro de BC - Servidores'!$A$14:$B$123))</f>
        <v xml:space="preserve">Maria Marta dos Santos </v>
      </c>
      <c r="E81" s="237" t="str">
        <f>IF(C81="","",LOOKUP($C81,'Cadastro de BC - Servidores'!$A$14:$D$123))</f>
        <v>Coordenadoria de Produtos Pré Medidos e Metrologia Científica</v>
      </c>
      <c r="F81" s="237" t="str">
        <f>IF(C81="","",LOOKUP($C81,'Cadastro de BC - Servidores'!$A$14:$E$123))</f>
        <v>tecnico em Edificações</v>
      </c>
      <c r="G81" s="238">
        <f>IF(C81="","",LOOKUP($C81,'Cadastro de BC - Servidores'!$A$14:$C$123))</f>
        <v>31476</v>
      </c>
      <c r="H81" s="239" t="str">
        <f>IF(C81="","",LOOKUP($C81,'Cadastro de BC - Servidores'!$A$14:$F$123))</f>
        <v>EF</v>
      </c>
      <c r="I81" s="240">
        <f>IF(C81="","",LOOKUP($C81,'Cadastro de BC - Servidores'!$A$14:$O$123))</f>
        <v>2715</v>
      </c>
      <c r="J81" s="240">
        <f>IF(C81="","",LOOKUP($C81,'Cadastro de BC - Servidores'!$A$14:$AF$123))</f>
        <v>734.73850000000004</v>
      </c>
      <c r="K81" s="240">
        <f>IF(C81="","",LOOKUP($C81,'Cadastro de BC - Servidores'!$A$14:$AG$123))</f>
        <v>1980.2615000000001</v>
      </c>
      <c r="L81" s="309"/>
      <c r="M81" s="284"/>
      <c r="N81" s="284"/>
    </row>
    <row r="82" spans="1:14" s="243" customFormat="1" ht="30" customHeight="1" x14ac:dyDescent="0.25">
      <c r="A82" s="231"/>
      <c r="B82" s="235">
        <f t="shared" si="2"/>
        <v>71</v>
      </c>
      <c r="C82" s="236">
        <v>38</v>
      </c>
      <c r="D82" s="384" t="str">
        <f>IF(C82="","",LOOKUP($C82,'Cadastro de BC - Servidores'!$A$14:$B$123))</f>
        <v>Mário José da Costa S. Filho</v>
      </c>
      <c r="E82" s="237" t="str">
        <f>IF(C82="","",LOOKUP($C82,'Cadastro de BC - Servidores'!$A$14:$D$123))</f>
        <v>Coordenadoria de Metrologia Legal</v>
      </c>
      <c r="F82" s="237" t="str">
        <f>IF(C82="","",LOOKUP($C82,'Cadastro de BC - Servidores'!$A$14:$E$123))</f>
        <v>Executor de Serviços Básicos</v>
      </c>
      <c r="G82" s="238">
        <f>IF(C82="","",LOOKUP($C82,'Cadastro de BC - Servidores'!$A$14:$C$123))</f>
        <v>31197</v>
      </c>
      <c r="H82" s="239" t="str">
        <f>IF(C82="","",LOOKUP($C82,'Cadastro de BC - Servidores'!$A$14:$F$123))</f>
        <v>CE</v>
      </c>
      <c r="I82" s="240">
        <f>IF(C82="","",LOOKUP($C82,'Cadastro de BC - Servidores'!$A$14:$O$123))</f>
        <v>2081.5</v>
      </c>
      <c r="J82" s="240">
        <f>IF(C82="","",LOOKUP($C82,'Cadastro de BC - Servidores'!$A$14:$AF$123))</f>
        <v>512.77125000000024</v>
      </c>
      <c r="K82" s="240">
        <f>IF(C82="","",LOOKUP($C82,'Cadastro de BC - Servidores'!$A$14:$AG$123))</f>
        <v>1568.7287499999998</v>
      </c>
      <c r="L82" s="309"/>
      <c r="M82" s="284"/>
      <c r="N82" s="284"/>
    </row>
    <row r="83" spans="1:14" s="243" customFormat="1" ht="30" customHeight="1" x14ac:dyDescent="0.25">
      <c r="A83" s="231"/>
      <c r="B83" s="235">
        <f t="shared" si="2"/>
        <v>72</v>
      </c>
      <c r="C83" s="236">
        <v>80</v>
      </c>
      <c r="D83" s="384" t="str">
        <f>IF(C83="","",LOOKUP($C83,'Cadastro de BC - Servidores'!$A$14:$B$123))</f>
        <v>Marleide Batista de Oliveira</v>
      </c>
      <c r="E83" s="237" t="str">
        <f>IF(C83="","",LOOKUP($C83,'Cadastro de BC - Servidores'!$A$14:$D$123))</f>
        <v>Gerência de Qualidade e Produtos Certificados</v>
      </c>
      <c r="F83" s="237" t="str">
        <f>IF(C83="","",LOOKUP($C83,'Cadastro de BC - Servidores'!$A$14:$E$123))</f>
        <v>Oficial Administrativo</v>
      </c>
      <c r="G83" s="238" t="str">
        <f>IF(C83="","",LOOKUP($C83,'Cadastro de BC - Servidores'!$A$14:$C$123))</f>
        <v>15/061982</v>
      </c>
      <c r="H83" s="239" t="str">
        <f>IF(C83="","",LOOKUP($C83,'Cadastro de BC - Servidores'!$A$14:$F$123))</f>
        <v>EF</v>
      </c>
      <c r="I83" s="240">
        <f>IF(C83="","",LOOKUP($C83,'Cadastro de BC - Servidores'!$A$14:$O$123))</f>
        <v>2896</v>
      </c>
      <c r="J83" s="240">
        <f>IF(C83="","",LOOKUP($C83,'Cadastro de BC - Servidores'!$A$14:$AF$123))</f>
        <v>784.51350000000014</v>
      </c>
      <c r="K83" s="240">
        <f>IF(C83="","",LOOKUP($C83,'Cadastro de BC - Servidores'!$A$14:$AG$123))</f>
        <v>2111.4865</v>
      </c>
      <c r="L83" s="309"/>
      <c r="M83" s="284"/>
      <c r="N83" s="284"/>
    </row>
    <row r="84" spans="1:14" s="243" customFormat="1" ht="30" customHeight="1" x14ac:dyDescent="0.25">
      <c r="A84" s="231"/>
      <c r="B84" s="235">
        <f t="shared" si="2"/>
        <v>73</v>
      </c>
      <c r="C84" s="236">
        <v>17</v>
      </c>
      <c r="D84" s="384" t="str">
        <f>IF(C84="","",LOOKUP($C84,'Cadastro de BC - Servidores'!$A$14:$B$123))</f>
        <v>Mayra Oliveira Nunes Lima</v>
      </c>
      <c r="E84" s="237" t="str">
        <f>IF(C84="","",LOOKUP($C84,'Cadastro de BC - Servidores'!$A$14:$D$123))</f>
        <v>Coordenadoria de Produtos Industrializados</v>
      </c>
      <c r="F84" s="237" t="str">
        <f>IF(C84="","",LOOKUP($C84,'Cadastro de BC - Servidores'!$A$14:$E$123))</f>
        <v>Coordenador de Produtos Industrializados</v>
      </c>
      <c r="G84" s="238">
        <f>IF(C84="","",LOOKUP($C84,'Cadastro de BC - Servidores'!$A$14:$C$123))</f>
        <v>43263</v>
      </c>
      <c r="H84" s="239" t="str">
        <f>IF(C84="","",LOOKUP($C84,'Cadastro de BC - Servidores'!$A$14:$F$123))</f>
        <v>CC</v>
      </c>
      <c r="I84" s="240">
        <f>IF(C84="","",LOOKUP($C84,'Cadastro de BC - Servidores'!$A$14:$O$123))</f>
        <v>2715</v>
      </c>
      <c r="J84" s="240">
        <f>IF(C84="","",LOOKUP($C84,'Cadastro de BC - Servidores'!$A$14:$AF$123))</f>
        <v>474.80550000000011</v>
      </c>
      <c r="K84" s="240">
        <f>IF(C84="","",LOOKUP($C84,'Cadastro de BC - Servidores'!$A$14:$AG$123))</f>
        <v>2240.1945000000001</v>
      </c>
      <c r="L84" s="309"/>
      <c r="M84" s="284"/>
      <c r="N84" s="284"/>
    </row>
    <row r="85" spans="1:14" s="243" customFormat="1" ht="30" customHeight="1" x14ac:dyDescent="0.25">
      <c r="A85" s="231"/>
      <c r="B85" s="235">
        <f t="shared" si="2"/>
        <v>74</v>
      </c>
      <c r="C85" s="236">
        <v>39</v>
      </c>
      <c r="D85" s="384" t="str">
        <f>IF(C85="","",LOOKUP($C85,'Cadastro de BC - Servidores'!$A$14:$B$123))</f>
        <v>Carlos André Carvalho Santana Souza</v>
      </c>
      <c r="E85" s="237" t="str">
        <f>IF(C85="","",LOOKUP($C85,'Cadastro de BC - Servidores'!$A$14:$D$123))</f>
        <v>Gerência de Recursos Humanos</v>
      </c>
      <c r="F85" s="237" t="str">
        <f>IF(C85="","",LOOKUP($C85,'Cadastro de BC - Servidores'!$A$14:$E$123))</f>
        <v>Diretor II</v>
      </c>
      <c r="G85" s="238">
        <f>IF(C85="","",LOOKUP($C85,'Cadastro de BC - Servidores'!$A$14:$C$123))</f>
        <v>43313</v>
      </c>
      <c r="H85" s="239" t="str">
        <f>IF(C85="","",LOOKUP($C85,'Cadastro de BC - Servidores'!$A$14:$F$123))</f>
        <v>CC</v>
      </c>
      <c r="I85" s="240">
        <f>IF(C85="","",LOOKUP($C85,'Cadastro de BC - Servidores'!$A$14:$O$123))</f>
        <v>1448</v>
      </c>
      <c r="J85" s="240">
        <f>IF(C85="","",LOOKUP($C85,'Cadastro de BC - Servidores'!$A$14:$AF$123))</f>
        <v>108.59999999999998</v>
      </c>
      <c r="K85" s="240">
        <f>IF(C85="","",LOOKUP($C85,'Cadastro de BC - Servidores'!$A$14:$AG$123))</f>
        <v>1339.4</v>
      </c>
      <c r="L85" s="309"/>
      <c r="M85" s="284"/>
      <c r="N85" s="284"/>
    </row>
    <row r="86" spans="1:14" s="243" customFormat="1" ht="30" customHeight="1" x14ac:dyDescent="0.25">
      <c r="A86" s="231"/>
      <c r="B86" s="235">
        <f t="shared" si="2"/>
        <v>75</v>
      </c>
      <c r="C86" s="236">
        <v>98</v>
      </c>
      <c r="D86" s="384" t="str">
        <f>IF(C86="","",LOOKUP($C86,'Cadastro de BC - Servidores'!$A$14:$B$123))</f>
        <v>Natali Leite dos Santos</v>
      </c>
      <c r="E86" s="237" t="str">
        <f>IF(C86="","",LOOKUP($C86,'Cadastro de BC - Servidores'!$A$14:$D$123))</f>
        <v>Gerência de Contabilidade e Finanças</v>
      </c>
      <c r="F86" s="237" t="str">
        <f>IF(C86="","",LOOKUP($C86,'Cadastro de BC - Servidores'!$A$14:$E$123))</f>
        <v>Subcoordenador de Contabilidade</v>
      </c>
      <c r="G86" s="238">
        <f>IF(C86="","",LOOKUP($C86,'Cadastro de BC - Servidores'!$A$14:$C$123))</f>
        <v>43070</v>
      </c>
      <c r="H86" s="239" t="str">
        <f>IF(C86="","",LOOKUP($C86,'Cadastro de BC - Servidores'!$A$14:$F$123))</f>
        <v>CC</v>
      </c>
      <c r="I86" s="240">
        <f>IF(C86="","",LOOKUP($C86,'Cadastro de BC - Servidores'!$A$14:$O$123))</f>
        <v>1448</v>
      </c>
      <c r="J86" s="240">
        <f>IF(C86="","",LOOKUP($C86,'Cadastro de BC - Servidores'!$A$14:$AF$123))</f>
        <v>163.56974999999991</v>
      </c>
      <c r="K86" s="240">
        <f>IF(C86="","",LOOKUP($C86,'Cadastro de BC - Servidores'!$A$14:$AG$123))</f>
        <v>1284.4302500000001</v>
      </c>
      <c r="L86" s="309"/>
      <c r="M86" s="284"/>
      <c r="N86" s="284"/>
    </row>
    <row r="87" spans="1:14" s="243" customFormat="1" ht="30" customHeight="1" x14ac:dyDescent="0.25">
      <c r="A87" s="231"/>
      <c r="B87" s="235">
        <f t="shared" si="2"/>
        <v>76</v>
      </c>
      <c r="C87" s="236">
        <v>100</v>
      </c>
      <c r="D87" s="384" t="str">
        <f>IF(C87="","",LOOKUP($C87,'Cadastro de BC - Servidores'!$A$14:$B$123))</f>
        <v>Polyana Souza da Silva</v>
      </c>
      <c r="E87" s="237" t="str">
        <f>IF(C87="","",LOOKUP($C87,'Cadastro de BC - Servidores'!$A$14:$D$123))</f>
        <v>Coordenadoria de Administração de Pessoal</v>
      </c>
      <c r="F87" s="237" t="str">
        <f>IF(C87="","",LOOKUP($C87,'Cadastro de BC - Servidores'!$A$14:$E$123))</f>
        <v xml:space="preserve">Coordenadora de Adm. Pessoal </v>
      </c>
      <c r="G87" s="238">
        <f>IF(C87="","",LOOKUP($C87,'Cadastro de BC - Servidores'!$A$14:$C$123))</f>
        <v>44256</v>
      </c>
      <c r="H87" s="239" t="str">
        <f>IF(C87="","",LOOKUP($C87,'Cadastro de BC - Servidores'!$A$14:$F$123))</f>
        <v>CC</v>
      </c>
      <c r="I87" s="240">
        <f>IF(C87="","",LOOKUP($C87,'Cadastro de BC - Servidores'!$A$14:$O$123))</f>
        <v>1176.5</v>
      </c>
      <c r="J87" s="240">
        <f>IF(C87="","",LOOKUP($C87,'Cadastro de BC - Servidores'!$A$14:$AF$123))</f>
        <v>109.332375</v>
      </c>
      <c r="K87" s="240">
        <f>IF(C87="","",LOOKUP($C87,'Cadastro de BC - Servidores'!$A$14:$AG$123))</f>
        <v>1067.167625</v>
      </c>
      <c r="L87" s="309"/>
      <c r="M87" s="284"/>
      <c r="N87" s="284"/>
    </row>
    <row r="88" spans="1:14" s="243" customFormat="1" ht="30" customHeight="1" x14ac:dyDescent="0.25">
      <c r="A88" s="231"/>
      <c r="B88" s="235">
        <f t="shared" si="2"/>
        <v>77</v>
      </c>
      <c r="C88" s="236">
        <v>82</v>
      </c>
      <c r="D88" s="384" t="str">
        <f>IF(C88="","",LOOKUP($C88,'Cadastro de BC - Servidores'!$A$14:$B$123))</f>
        <v>Rafael Fortunato dos Santos</v>
      </c>
      <c r="E88" s="237" t="str">
        <f>IF(C88="","",LOOKUP($C88,'Cadastro de BC - Servidores'!$A$14:$D$123))</f>
        <v>Coordenadoria de Metrologia Legal</v>
      </c>
      <c r="F88" s="237" t="str">
        <f>IF(C88="","",LOOKUP($C88,'Cadastro de BC - Servidores'!$A$14:$E$123))</f>
        <v>Tecnico em Edificações</v>
      </c>
      <c r="G88" s="238">
        <f>IF(C88="","",LOOKUP($C88,'Cadastro de BC - Servidores'!$A$14:$C$123))</f>
        <v>31474</v>
      </c>
      <c r="H88" s="239" t="str">
        <f>IF(C88="","",LOOKUP($C88,'Cadastro de BC - Servidores'!$A$14:$F$123))</f>
        <v>EF</v>
      </c>
      <c r="I88" s="240">
        <f>IF(C88="","",LOOKUP($C88,'Cadastro de BC - Servidores'!$A$14:$O$123))</f>
        <v>2715</v>
      </c>
      <c r="J88" s="240">
        <f>IF(C88="","",LOOKUP($C88,'Cadastro de BC - Servidores'!$A$14:$AF$123))</f>
        <v>689.75250000000005</v>
      </c>
      <c r="K88" s="240">
        <f>IF(C88="","",LOOKUP($C88,'Cadastro de BC - Servidores'!$A$14:$AG$123))</f>
        <v>2025.2474999999999</v>
      </c>
      <c r="L88" s="309"/>
      <c r="M88" s="284"/>
      <c r="N88" s="284"/>
    </row>
    <row r="89" spans="1:14" s="243" customFormat="1" ht="30" customHeight="1" x14ac:dyDescent="0.25">
      <c r="A89" s="231"/>
      <c r="B89" s="235">
        <f t="shared" si="2"/>
        <v>78</v>
      </c>
      <c r="C89" s="236">
        <v>41</v>
      </c>
      <c r="D89" s="384" t="str">
        <f>IF(C89="","",LOOKUP($C89,'Cadastro de BC - Servidores'!$A$14:$B$123))</f>
        <v>Raimundo de Sales e Silva Filho</v>
      </c>
      <c r="E89" s="237" t="str">
        <f>IF(C89="","",LOOKUP($C89,'Cadastro de BC - Servidores'!$A$14:$D$123))</f>
        <v>Procuradoria Jurídica</v>
      </c>
      <c r="F89" s="237" t="str">
        <f>IF(C89="","",LOOKUP($C89,'Cadastro de BC - Servidores'!$A$14:$E$123))</f>
        <v>Professor de Educação Básica</v>
      </c>
      <c r="G89" s="238">
        <f>IF(C89="","",LOOKUP($C89,'Cadastro de BC - Servidores'!$A$14:$C$123))</f>
        <v>32275</v>
      </c>
      <c r="H89" s="239" t="str">
        <f>IF(C89="","",LOOKUP($C89,'Cadastro de BC - Servidores'!$A$14:$F$123))</f>
        <v>CE</v>
      </c>
      <c r="I89" s="240">
        <f>IF(C89="","",LOOKUP($C89,'Cadastro de BC - Servidores'!$A$14:$O$123))</f>
        <v>1991.0000000000002</v>
      </c>
      <c r="J89" s="240">
        <f>IF(C89="","",LOOKUP($C89,'Cadastro de BC - Servidores'!$A$14:$AF$123))</f>
        <v>547.52500000000009</v>
      </c>
      <c r="K89" s="240">
        <f>IF(C89="","",LOOKUP($C89,'Cadastro de BC - Servidores'!$A$14:$AG$123))</f>
        <v>1443.4750000000001</v>
      </c>
      <c r="L89" s="309"/>
      <c r="M89" s="284"/>
      <c r="N89" s="284"/>
    </row>
    <row r="90" spans="1:14" s="243" customFormat="1" ht="30" customHeight="1" x14ac:dyDescent="0.25">
      <c r="A90" s="231"/>
      <c r="B90" s="235">
        <f t="shared" si="2"/>
        <v>79</v>
      </c>
      <c r="C90" s="236">
        <v>18</v>
      </c>
      <c r="D90" s="384" t="str">
        <f>IF(C90="","",LOOKUP($C90,'Cadastro de BC - Servidores'!$A$14:$B$123))</f>
        <v>Reginaldo Santos Aragão</v>
      </c>
      <c r="E90" s="237" t="str">
        <f>IF(C90="","",LOOKUP($C90,'Cadastro de BC - Servidores'!$A$14:$D$123))</f>
        <v>Coordenadoria de Metrologia Legal</v>
      </c>
      <c r="F90" s="237" t="str">
        <f>IF(C90="","",LOOKUP($C90,'Cadastro de BC - Servidores'!$A$14:$E$123))</f>
        <v>Auxiliar de Gabinete</v>
      </c>
      <c r="G90" s="238">
        <f>IF(C90="","",LOOKUP($C90,'Cadastro de BC - Servidores'!$A$14:$C$123))</f>
        <v>39295</v>
      </c>
      <c r="H90" s="239" t="str">
        <f>IF(C90="","",LOOKUP($C90,'Cadastro de BC - Servidores'!$A$14:$F$123))</f>
        <v>CC</v>
      </c>
      <c r="I90" s="240">
        <f>IF(C90="","",LOOKUP($C90,'Cadastro de BC - Servidores'!$A$14:$O$123))</f>
        <v>2172</v>
      </c>
      <c r="J90" s="240">
        <f>IF(C90="","",LOOKUP($C90,'Cadastro de BC - Servidores'!$A$14:$AF$123))</f>
        <v>172.70999999999998</v>
      </c>
      <c r="K90" s="240">
        <f>IF(C90="","",LOOKUP($C90,'Cadastro de BC - Servidores'!$A$14:$AG$123))</f>
        <v>1999.29</v>
      </c>
      <c r="L90" s="309"/>
      <c r="M90" s="284"/>
      <c r="N90" s="284"/>
    </row>
    <row r="91" spans="1:14" s="243" customFormat="1" ht="30" customHeight="1" x14ac:dyDescent="0.25">
      <c r="A91" s="231"/>
      <c r="B91" s="235">
        <f t="shared" si="2"/>
        <v>80</v>
      </c>
      <c r="C91" s="236">
        <v>42</v>
      </c>
      <c r="D91" s="384" t="str">
        <f>IF(C91="","",LOOKUP($C91,'Cadastro de BC - Servidores'!$A$14:$B$123))</f>
        <v>Rejane de Jesus Siqueira</v>
      </c>
      <c r="E91" s="237" t="str">
        <f>IF(C91="","",LOOKUP($C91,'Cadastro de BC - Servidores'!$A$14:$D$123))</f>
        <v>Gerência de Apoio Administrativo</v>
      </c>
      <c r="F91" s="237" t="str">
        <f>IF(C91="","",LOOKUP($C91,'Cadastro de BC - Servidores'!$A$14:$E$123))</f>
        <v>Oficial Administrativo</v>
      </c>
      <c r="G91" s="238">
        <f>IF(C91="","",LOOKUP($C91,'Cadastro de BC - Servidores'!$A$14:$C$123))</f>
        <v>34710</v>
      </c>
      <c r="H91" s="239" t="str">
        <f>IF(C91="","",LOOKUP($C91,'Cadastro de BC - Servidores'!$A$14:$F$123))</f>
        <v>CE</v>
      </c>
      <c r="I91" s="240">
        <f>IF(C91="","",LOOKUP($C91,'Cadastro de BC - Servidores'!$A$14:$O$123))</f>
        <v>742.09999999999991</v>
      </c>
      <c r="J91" s="240">
        <f>IF(C91="","",LOOKUP($C91,'Cadastro de BC - Servidores'!$A$14:$AF$123))</f>
        <v>151.61499999999995</v>
      </c>
      <c r="K91" s="240">
        <f>IF(C91="","",LOOKUP($C91,'Cadastro de BC - Servidores'!$A$14:$AG$123))</f>
        <v>590.4849999999999</v>
      </c>
      <c r="L91" s="309"/>
      <c r="M91" s="284"/>
      <c r="N91" s="284"/>
    </row>
    <row r="92" spans="1:14" s="243" customFormat="1" ht="30" customHeight="1" x14ac:dyDescent="0.25">
      <c r="A92" s="231"/>
      <c r="B92" s="235">
        <f t="shared" si="2"/>
        <v>81</v>
      </c>
      <c r="C92" s="236">
        <v>89</v>
      </c>
      <c r="D92" s="384" t="str">
        <f>IF(C92="","",LOOKUP($C92,'Cadastro de BC - Servidores'!$A$14:$B$123))</f>
        <v>Luiz Mario da Silva Junior</v>
      </c>
      <c r="E92" s="237" t="str">
        <f>IF(C92="","",LOOKUP($C92,'Cadastro de BC - Servidores'!$A$14:$D$123))</f>
        <v>Diretoria Administrativa e Financeira</v>
      </c>
      <c r="F92" s="237" t="str">
        <f>IF(C92="","",LOOKUP($C92,'Cadastro de BC - Servidores'!$A$14:$E$123))</f>
        <v>Diretor Administrativo e Financeiro</v>
      </c>
      <c r="G92" s="238">
        <f>IF(C92="","",LOOKUP($C92,'Cadastro de BC - Servidores'!$A$14:$C$123))</f>
        <v>0</v>
      </c>
      <c r="H92" s="239" t="str">
        <f>IF(C92="","",LOOKUP($C92,'Cadastro de BC - Servidores'!$A$14:$F$123))</f>
        <v>CC</v>
      </c>
      <c r="I92" s="240">
        <f>IF(C92="","",LOOKUP($C92,'Cadastro de BC - Servidores'!$A$14:$O$123))</f>
        <v>4163</v>
      </c>
      <c r="J92" s="240">
        <f>IF(C92="","",LOOKUP($C92,'Cadastro de BC - Servidores'!$A$14:$AF$123))</f>
        <v>1144.8250000000007</v>
      </c>
      <c r="K92" s="240">
        <f>IF(C92="","",LOOKUP($C92,'Cadastro de BC - Servidores'!$A$14:$AG$123))</f>
        <v>3018.1749999999993</v>
      </c>
      <c r="L92" s="309"/>
      <c r="M92" s="284"/>
      <c r="N92" s="284"/>
    </row>
    <row r="93" spans="1:14" s="243" customFormat="1" ht="30" customHeight="1" x14ac:dyDescent="0.25">
      <c r="A93" s="231"/>
      <c r="B93" s="235">
        <f t="shared" si="2"/>
        <v>82</v>
      </c>
      <c r="C93" s="236">
        <v>83</v>
      </c>
      <c r="D93" s="384" t="str">
        <f>IF(C93="","",LOOKUP($C93,'Cadastro de BC - Servidores'!$A$14:$B$123))</f>
        <v>Risoleta Mariano Miranda da Silva</v>
      </c>
      <c r="E93" s="237" t="str">
        <f>IF(C93="","",LOOKUP($C93,'Cadastro de BC - Servidores'!$A$14:$D$123))</f>
        <v>Coordenadoria de Serviços Gerais</v>
      </c>
      <c r="F93" s="237" t="str">
        <f>IF(C93="","",LOOKUP($C93,'Cadastro de BC - Servidores'!$A$14:$E$123))</f>
        <v>Telefonista</v>
      </c>
      <c r="G93" s="238">
        <f>IF(C93="","",LOOKUP($C93,'Cadastro de BC - Servidores'!$A$14:$C$123))</f>
        <v>31474</v>
      </c>
      <c r="H93" s="239" t="str">
        <f>IF(C93="","",LOOKUP($C93,'Cadastro de BC - Servidores'!$A$14:$F$123))</f>
        <v>EF</v>
      </c>
      <c r="I93" s="240">
        <f>IF(C93="","",LOOKUP($C93,'Cadastro de BC - Servidores'!$A$14:$O$123))</f>
        <v>742.09999999999991</v>
      </c>
      <c r="J93" s="240">
        <f>IF(C93="","",LOOKUP($C93,'Cadastro de BC - Servidores'!$A$14:$AF$123))</f>
        <v>166.97250000000008</v>
      </c>
      <c r="K93" s="240">
        <f>IF(C93="","",LOOKUP($C93,'Cadastro de BC - Servidores'!$A$14:$AG$123))</f>
        <v>575.12749999999983</v>
      </c>
      <c r="L93" s="309"/>
      <c r="M93" s="284"/>
      <c r="N93" s="284"/>
    </row>
    <row r="94" spans="1:14" s="243" customFormat="1" ht="30" customHeight="1" x14ac:dyDescent="0.25">
      <c r="A94" s="231"/>
      <c r="B94" s="235">
        <f t="shared" si="2"/>
        <v>83</v>
      </c>
      <c r="C94" s="236">
        <v>43</v>
      </c>
      <c r="D94" s="384" t="str">
        <f>IF(C94="","",LOOKUP($C94,'Cadastro de BC - Servidores'!$A$14:$B$123))</f>
        <v>Rose Carla da Silva P. Matos</v>
      </c>
      <c r="E94" s="237" t="str">
        <f>IF(C94="","",LOOKUP($C94,'Cadastro de BC - Servidores'!$A$14:$D$123))</f>
        <v>Coordenadoria de Documentação e Inspeção</v>
      </c>
      <c r="F94" s="237" t="str">
        <f>IF(C94="","",LOOKUP($C94,'Cadastro de BC - Servidores'!$A$14:$E$123))</f>
        <v>Oficial Administrativo</v>
      </c>
      <c r="G94" s="238">
        <f>IF(C94="","",LOOKUP($C94,'Cadastro de BC - Servidores'!$A$14:$C$123))</f>
        <v>39552</v>
      </c>
      <c r="H94" s="239" t="str">
        <f>IF(C94="","",LOOKUP($C94,'Cadastro de BC - Servidores'!$A$14:$F$123))</f>
        <v>CE</v>
      </c>
      <c r="I94" s="240">
        <f>IF(C94="","",LOOKUP($C94,'Cadastro de BC - Servidores'!$A$14:$O$123))</f>
        <v>2715</v>
      </c>
      <c r="J94" s="240">
        <f>IF(C94="","",LOOKUP($C94,'Cadastro de BC - Servidores'!$A$14:$AF$123))</f>
        <v>423.97500000000014</v>
      </c>
      <c r="K94" s="240">
        <f>IF(C94="","",LOOKUP($C94,'Cadastro de BC - Servidores'!$A$14:$AG$123))</f>
        <v>2291.0249999999996</v>
      </c>
      <c r="L94" s="309"/>
      <c r="M94" s="284"/>
      <c r="N94" s="284"/>
    </row>
    <row r="95" spans="1:14" s="243" customFormat="1" ht="30" customHeight="1" x14ac:dyDescent="0.25">
      <c r="A95" s="231"/>
      <c r="B95" s="235">
        <f t="shared" si="2"/>
        <v>84</v>
      </c>
      <c r="C95" s="236">
        <v>81</v>
      </c>
      <c r="D95" s="384" t="str">
        <f>IF(C95="","",LOOKUP($C95,'Cadastro de BC - Servidores'!$A$14:$B$123))</f>
        <v>Rosemary Menezes Oliveira</v>
      </c>
      <c r="E95" s="237" t="str">
        <f>IF(C95="","",LOOKUP($C95,'Cadastro de BC - Servidores'!$A$14:$D$123))</f>
        <v>Centro de Memória e Tecnologia de Sergipe</v>
      </c>
      <c r="F95" s="237" t="str">
        <f>IF(C95="","",LOOKUP($C95,'Cadastro de BC - Servidores'!$A$14:$E$123))</f>
        <v>Oficial Administrativo</v>
      </c>
      <c r="G95" s="238">
        <f>IF(C95="","",LOOKUP($C95,'Cadastro de BC - Servidores'!$A$14:$C$123))</f>
        <v>31555</v>
      </c>
      <c r="H95" s="239" t="str">
        <f>IF(C95="","",LOOKUP($C95,'Cadastro de BC - Servidores'!$A$14:$F$123))</f>
        <v>EF</v>
      </c>
      <c r="I95" s="240">
        <f>IF(C95="","",LOOKUP($C95,'Cadastro de BC - Servidores'!$A$14:$O$123))</f>
        <v>1176.5</v>
      </c>
      <c r="J95" s="240">
        <f>IF(C95="","",LOOKUP($C95,'Cadastro de BC - Servidores'!$A$14:$AF$123))</f>
        <v>323.53750000000014</v>
      </c>
      <c r="K95" s="240">
        <f>IF(C95="","",LOOKUP($C95,'Cadastro de BC - Servidores'!$A$14:$AG$123))</f>
        <v>852.96249999999986</v>
      </c>
      <c r="L95" s="309"/>
      <c r="M95" s="284"/>
      <c r="N95" s="284"/>
    </row>
    <row r="96" spans="1:14" ht="30" customHeight="1" x14ac:dyDescent="0.2">
      <c r="A96" s="231"/>
      <c r="B96" s="235">
        <f t="shared" si="2"/>
        <v>85</v>
      </c>
      <c r="C96" s="236">
        <v>44</v>
      </c>
      <c r="D96" s="384" t="str">
        <f>IF(C96="","",LOOKUP($C96,'Cadastro de BC - Servidores'!$A$14:$B$123))</f>
        <v>Sonia Maria Soares Andrade</v>
      </c>
      <c r="E96" s="237" t="str">
        <f>IF(C96="","",LOOKUP($C96,'Cadastro de BC - Servidores'!$A$14:$D$123))</f>
        <v>Coordenadoria de Serviço de Atendimento ao Cliente</v>
      </c>
      <c r="F96" s="237" t="str">
        <f>IF(C96="","",LOOKUP($C96,'Cadastro de BC - Servidores'!$A$14:$E$123))</f>
        <v>Oficial Administrativo</v>
      </c>
      <c r="G96" s="238">
        <f>IF(C96="","",LOOKUP($C96,'Cadastro de BC - Servidores'!$A$14:$C$123))</f>
        <v>31579</v>
      </c>
      <c r="H96" s="239" t="str">
        <f>IF(C96="","",LOOKUP($C96,'Cadastro de BC - Servidores'!$A$14:$F$123))</f>
        <v>CE</v>
      </c>
      <c r="I96" s="240">
        <f>IF(C96="","",LOOKUP($C96,'Cadastro de BC - Servidores'!$A$14:$O$123))</f>
        <v>1176.5</v>
      </c>
      <c r="J96" s="240">
        <f>IF(C96="","",LOOKUP($C96,'Cadastro de BC - Servidores'!$A$14:$AF$123))</f>
        <v>323.53749999999991</v>
      </c>
      <c r="K96" s="240">
        <f>IF(C96="","",LOOKUP($C96,'Cadastro de BC - Servidores'!$A$14:$AG$123))</f>
        <v>852.96250000000009</v>
      </c>
      <c r="L96" s="309"/>
      <c r="M96" s="284"/>
      <c r="N96" s="284"/>
    </row>
    <row r="97" spans="1:14" ht="30" customHeight="1" x14ac:dyDescent="0.2">
      <c r="A97" s="231"/>
      <c r="B97" s="235">
        <f t="shared" si="2"/>
        <v>86</v>
      </c>
      <c r="C97" s="236">
        <v>30</v>
      </c>
      <c r="D97" s="384" t="str">
        <f>IF(C97="","",LOOKUP($C97,'Cadastro de BC - Servidores'!$A$14:$B$123))</f>
        <v>Marcia Gabriela da Cruz Santos</v>
      </c>
      <c r="E97" s="237" t="str">
        <f>IF(C97="","",LOOKUP($C97,'Cadastro de BC - Servidores'!$A$14:$D$123))</f>
        <v>Gabinete da Presidência</v>
      </c>
      <c r="F97" s="237" t="str">
        <f>IF(C97="","",LOOKUP($C97,'Cadastro de BC - Servidores'!$A$14:$E$123))</f>
        <v>Chefe de Gabinete</v>
      </c>
      <c r="G97" s="238">
        <f>IF(C97="","",LOOKUP($C97,'Cadastro de BC - Servidores'!$A$14:$C$123))</f>
        <v>0</v>
      </c>
      <c r="H97" s="239" t="str">
        <f>IF(C97="","",LOOKUP($C97,'Cadastro de BC - Servidores'!$A$14:$F$123))</f>
        <v>CC</v>
      </c>
      <c r="I97" s="240">
        <f>IF(C97="","",LOOKUP($C97,'Cadastro de BC - Servidores'!$A$14:$O$123))</f>
        <v>2172</v>
      </c>
      <c r="J97" s="240">
        <f>IF(C97="","",LOOKUP($C97,'Cadastro de BC - Servidores'!$A$14:$AF$123))</f>
        <v>331.26850000000002</v>
      </c>
      <c r="K97" s="240">
        <f>IF(C97="","",LOOKUP($C97,'Cadastro de BC - Servidores'!$A$14:$AG$123))</f>
        <v>1840.7314999999999</v>
      </c>
      <c r="L97" s="309"/>
      <c r="M97" s="284"/>
      <c r="N97" s="284"/>
    </row>
    <row r="98" spans="1:14" ht="30" customHeight="1" x14ac:dyDescent="0.2">
      <c r="A98" s="231"/>
      <c r="B98" s="235">
        <f t="shared" si="2"/>
        <v>87</v>
      </c>
      <c r="C98" s="236">
        <v>87</v>
      </c>
      <c r="D98" s="384" t="str">
        <f>IF(C98="","",LOOKUP($C98,'Cadastro de BC - Servidores'!$A$14:$B$123))</f>
        <v>Tâmara Karoline de Oliveira Fontes</v>
      </c>
      <c r="E98" s="237" t="str">
        <f>IF(C98="","",LOOKUP($C98,'Cadastro de BC - Servidores'!$A$14:$D$123))</f>
        <v>Assessoria Geral de Gestão de Qualidade</v>
      </c>
      <c r="F98" s="237" t="str">
        <f>IF(C98="","",LOOKUP($C98,'Cadastro de BC - Servidores'!$A$14:$E$123))</f>
        <v>Assessor Geral  de Gestão de Qualidade</v>
      </c>
      <c r="G98" s="238">
        <f>IF(C98="","",LOOKUP($C98,'Cadastro de BC - Servidores'!$A$14:$C$123))</f>
        <v>42198</v>
      </c>
      <c r="H98" s="239" t="str">
        <f>IF(C98="","",LOOKUP($C98,'Cadastro de BC - Servidores'!$A$14:$F$123))</f>
        <v>CC</v>
      </c>
      <c r="I98" s="240">
        <f>IF(C98="","",LOOKUP($C98,'Cadastro de BC - Servidores'!$A$14:$O$123))</f>
        <v>1719.5</v>
      </c>
      <c r="J98" s="240">
        <f>IF(C98="","",LOOKUP($C98,'Cadastro de BC - Servidores'!$A$14:$AF$123))</f>
        <v>290.14497999999998</v>
      </c>
      <c r="K98" s="240">
        <f>IF(C98="","",LOOKUP($C98,'Cadastro de BC - Servidores'!$A$14:$AG$123))</f>
        <v>1429.35502</v>
      </c>
      <c r="L98" s="309"/>
      <c r="M98" s="284"/>
      <c r="N98" s="284"/>
    </row>
    <row r="99" spans="1:14" ht="30" customHeight="1" x14ac:dyDescent="0.2">
      <c r="A99" s="231"/>
      <c r="B99" s="235">
        <f t="shared" si="2"/>
        <v>88</v>
      </c>
      <c r="C99" s="236">
        <v>97</v>
      </c>
      <c r="D99" s="384" t="str">
        <f>IF(C99="","",LOOKUP($C99,'Cadastro de BC - Servidores'!$A$14:$B$123))</f>
        <v>Vinicius Deda Menezes</v>
      </c>
      <c r="E99" s="237" t="str">
        <f>IF(C99="","",LOOKUP($C99,'Cadastro de BC - Servidores'!$A$14:$D$123))</f>
        <v>Gerência de Projetos e Convênios</v>
      </c>
      <c r="F99" s="237" t="str">
        <f>IF(C99="","",LOOKUP($C99,'Cadastro de BC - Servidores'!$A$14:$E$123))</f>
        <v>Assessor Tecnico Administrativo I</v>
      </c>
      <c r="G99" s="238">
        <f>IF(C99="","",LOOKUP($C99,'Cadastro de BC - Servidores'!$A$14:$C$123))</f>
        <v>0</v>
      </c>
      <c r="H99" s="239" t="str">
        <f>IF(C99="","",LOOKUP($C99,'Cadastro de BC - Servidores'!$A$14:$F$123))</f>
        <v>CC</v>
      </c>
      <c r="I99" s="240">
        <f>IF(C99="","",LOOKUP($C99,'Cadastro de BC - Servidores'!$A$14:$O$123))</f>
        <v>1176.5</v>
      </c>
      <c r="J99" s="240">
        <f>IF(C99="","",LOOKUP($C99,'Cadastro de BC - Servidores'!$A$14:$AF$123))</f>
        <v>109.332375</v>
      </c>
      <c r="K99" s="240">
        <f>IF(C99="","",LOOKUP($C99,'Cadastro de BC - Servidores'!$A$14:$AG$123))</f>
        <v>1067.167625</v>
      </c>
      <c r="L99" s="309"/>
      <c r="M99" s="284"/>
      <c r="N99" s="284"/>
    </row>
    <row r="100" spans="1:14" ht="30" customHeight="1" x14ac:dyDescent="0.2">
      <c r="A100" s="231"/>
      <c r="B100" s="235">
        <f t="shared" si="2"/>
        <v>89</v>
      </c>
      <c r="C100" s="236">
        <v>85</v>
      </c>
      <c r="D100" s="384" t="str">
        <f>IF(C100="","",LOOKUP($C100,'Cadastro de BC - Servidores'!$A$14:$B$123))</f>
        <v>Tania Cristina Castro de Oliveira</v>
      </c>
      <c r="E100" s="237" t="str">
        <f>IF(C100="","",LOOKUP($C100,'Cadastro de BC - Servidores'!$A$14:$D$123))</f>
        <v>Coordenadoria de Documentação e Inspeção</v>
      </c>
      <c r="F100" s="237" t="str">
        <f>IF(C100="","",LOOKUP($C100,'Cadastro de BC - Servidores'!$A$14:$E$123))</f>
        <v>Oficial Administrativo</v>
      </c>
      <c r="G100" s="238">
        <f>IF(C100="","",LOOKUP($C100,'Cadastro de BC - Servidores'!$A$14:$C$123))</f>
        <v>31474</v>
      </c>
      <c r="H100" s="239" t="str">
        <f>IF(C100="","",LOOKUP($C100,'Cadastro de BC - Servidores'!$A$14:$F$123))</f>
        <v>EF</v>
      </c>
      <c r="I100" s="240">
        <f>IF(C100="","",LOOKUP($C100,'Cadastro de BC - Servidores'!$A$14:$O$123))</f>
        <v>1357.5</v>
      </c>
      <c r="J100" s="240">
        <f>IF(C100="","",LOOKUP($C100,'Cadastro de BC - Servidores'!$A$14:$AF$123))</f>
        <v>346.23800000000006</v>
      </c>
      <c r="K100" s="240">
        <f>IF(C100="","",LOOKUP($C100,'Cadastro de BC - Servidores'!$A$14:$AG$123))</f>
        <v>1011.2619999999999</v>
      </c>
      <c r="L100" s="309"/>
      <c r="M100" s="284"/>
      <c r="N100" s="284"/>
    </row>
    <row r="101" spans="1:14" ht="30" customHeight="1" x14ac:dyDescent="0.2">
      <c r="A101" s="231"/>
      <c r="B101" s="235">
        <f t="shared" si="2"/>
        <v>90</v>
      </c>
      <c r="C101" s="236">
        <v>86</v>
      </c>
      <c r="D101" s="384" t="str">
        <f>IF(C101="","",LOOKUP($C101,'Cadastro de BC - Servidores'!$A$14:$B$123))</f>
        <v>Tânia Lima de Azevedo</v>
      </c>
      <c r="E101" s="237" t="str">
        <f>IF(C101="","",LOOKUP($C101,'Cadastro de BC - Servidores'!$A$14:$D$123))</f>
        <v>Coordenadoria de Metrologia Legal</v>
      </c>
      <c r="F101" s="237" t="str">
        <f>IF(C101="","",LOOKUP($C101,'Cadastro de BC - Servidores'!$A$14:$E$123))</f>
        <v>Oficial Administrativo</v>
      </c>
      <c r="G101" s="238">
        <f>IF(C101="","",LOOKUP($C101,'Cadastro de BC - Servidores'!$A$14:$C$123))</f>
        <v>32295</v>
      </c>
      <c r="H101" s="239" t="str">
        <f>IF(C101="","",LOOKUP($C101,'Cadastro de BC - Servidores'!$A$14:$F$123))</f>
        <v>EF</v>
      </c>
      <c r="I101" s="240">
        <f>IF(C101="","",LOOKUP($C101,'Cadastro de BC - Servidores'!$A$14:$O$123))</f>
        <v>2715</v>
      </c>
      <c r="J101" s="240">
        <f>IF(C101="","",LOOKUP($C101,'Cadastro de BC - Servidores'!$A$14:$AF$123))</f>
        <v>626.32625000000007</v>
      </c>
      <c r="K101" s="240">
        <f>IF(C101="","",LOOKUP($C101,'Cadastro de BC - Servidores'!$A$14:$AG$123))</f>
        <v>2088.6737499999999</v>
      </c>
      <c r="L101" s="309"/>
      <c r="M101" s="284"/>
      <c r="N101" s="284"/>
    </row>
    <row r="102" spans="1:14" ht="30" customHeight="1" x14ac:dyDescent="0.2">
      <c r="A102" s="231"/>
      <c r="B102" s="235">
        <f t="shared" si="2"/>
        <v>91</v>
      </c>
      <c r="C102" s="236">
        <v>96</v>
      </c>
      <c r="D102" s="384" t="str">
        <f>IF(C102="","",LOOKUP($C102,'Cadastro de BC - Servidores'!$A$14:$B$123))</f>
        <v>Thaíse Michelle Menezes dos Santos</v>
      </c>
      <c r="E102" s="237" t="str">
        <f>IF(C102="","",LOOKUP($C102,'Cadastro de BC - Servidores'!$A$14:$D$123))</f>
        <v>Subcoordenadoria de Produtos Regulamentados e Certificados Compulsoriamente</v>
      </c>
      <c r="F102" s="237" t="str">
        <f>IF(C102="","",LOOKUP($C102,'Cadastro de BC - Servidores'!$A$14:$E$123))</f>
        <v>Subcoordenador de Produtos Regulamentados e Certificados Compulsoriamente</v>
      </c>
      <c r="G102" s="238">
        <f>IF(C102="","",LOOKUP($C102,'Cadastro de BC - Servidores'!$A$14:$C$123))</f>
        <v>43263</v>
      </c>
      <c r="H102" s="239" t="str">
        <f>IF(C102="","",LOOKUP($C102,'Cadastro de BC - Servidores'!$A$14:$F$123))</f>
        <v>CC</v>
      </c>
      <c r="I102" s="240">
        <f>IF(C102="","",LOOKUP($C102,'Cadastro de BC - Servidores'!$A$14:$O$123))</f>
        <v>1312.25</v>
      </c>
      <c r="J102" s="240">
        <f>IF(C102="","",LOOKUP($C102,'Cadastro de BC - Servidores'!$A$14:$AF$123))</f>
        <v>98.418749999999974</v>
      </c>
      <c r="K102" s="240">
        <f>IF(C102="","",LOOKUP($C102,'Cadastro de BC - Servidores'!$A$14:$AG$123))</f>
        <v>1213.83125</v>
      </c>
      <c r="L102" s="309"/>
      <c r="M102" s="284"/>
      <c r="N102" s="284"/>
    </row>
    <row r="103" spans="1:14" ht="30" customHeight="1" x14ac:dyDescent="0.2">
      <c r="A103" s="231"/>
      <c r="B103" s="235">
        <f t="shared" si="2"/>
        <v>92</v>
      </c>
      <c r="C103" s="236">
        <v>46</v>
      </c>
      <c r="D103" s="384">
        <f>IF(C103="","",LOOKUP($C103,'Cadastro de BC - Servidores'!$A$14:$B$123))</f>
        <v>0</v>
      </c>
      <c r="E103" s="237">
        <f>IF(C103="","",LOOKUP($C103,'Cadastro de BC - Servidores'!$A$14:$D$123))</f>
        <v>0</v>
      </c>
      <c r="F103" s="237">
        <f>IF(C103="","",LOOKUP($C103,'Cadastro de BC - Servidores'!$A$14:$E$123))</f>
        <v>0</v>
      </c>
      <c r="G103" s="238">
        <f>IF(C103="","",LOOKUP($C103,'Cadastro de BC - Servidores'!$A$14:$C$123))</f>
        <v>0</v>
      </c>
      <c r="H103" s="239">
        <f>IF(C103="","",LOOKUP($C103,'Cadastro de BC - Servidores'!$A$14:$F$123))</f>
        <v>0</v>
      </c>
      <c r="I103" s="240">
        <f>IF(C103="","",LOOKUP($C103,'Cadastro de BC - Servidores'!$A$14:$O$123))</f>
        <v>0</v>
      </c>
      <c r="J103" s="240">
        <f>IF(C103="","",LOOKUP($C103,'Cadastro de BC - Servidores'!$A$14:$AF$123))</f>
        <v>0</v>
      </c>
      <c r="K103" s="240">
        <f>IF(C103="","",LOOKUP($C103,'Cadastro de BC - Servidores'!$A$14:$AG$123))</f>
        <v>0</v>
      </c>
      <c r="L103" s="309"/>
      <c r="M103" s="284"/>
      <c r="N103" s="284"/>
    </row>
    <row r="104" spans="1:14" ht="30" customHeight="1" x14ac:dyDescent="0.2">
      <c r="A104" s="231"/>
      <c r="B104" s="235">
        <f>B103+1</f>
        <v>93</v>
      </c>
      <c r="C104" s="236">
        <v>92</v>
      </c>
      <c r="D104" s="384" t="str">
        <f>IF(C104="","",LOOKUP($C104,'Cadastro de BC - Servidores'!$A$14:$B$123))</f>
        <v>Eliene Andrade da Silva</v>
      </c>
      <c r="E104" s="237" t="str">
        <f>IF(C104="","",LOOKUP($C104,'Cadastro de BC - Servidores'!$A$14:$D$123))</f>
        <v>Gerência de Projetos e Convênios</v>
      </c>
      <c r="F104" s="237" t="str">
        <f>IF(C104="","",LOOKUP($C104,'Cadastro de BC - Servidores'!$A$14:$E$123))</f>
        <v>Assessor III</v>
      </c>
      <c r="G104" s="238">
        <f>IF(C104="","",LOOKUP($C104,'Cadastro de BC - Servidores'!$A$14:$C$123))</f>
        <v>44774</v>
      </c>
      <c r="H104" s="239" t="str">
        <f>IF(C104="","",LOOKUP($C104,'Cadastro de BC - Servidores'!$A$14:$F$123))</f>
        <v>CC</v>
      </c>
      <c r="I104" s="240">
        <f>IF(C104="","",LOOKUP($C104,'Cadastro de BC - Servidores'!$A$14:$O$123))</f>
        <v>1810</v>
      </c>
      <c r="J104" s="240">
        <f>IF(C104="","",LOOKUP($C104,'Cadastro de BC - Servidores'!$A$14:$AF$123))</f>
        <v>240.04449999999997</v>
      </c>
      <c r="K104" s="240">
        <f>IF(C104="","",LOOKUP($C104,'Cadastro de BC - Servidores'!$A$14:$AG$123))</f>
        <v>1569.9555</v>
      </c>
      <c r="L104" s="309"/>
      <c r="M104" s="284"/>
      <c r="N104" s="284"/>
    </row>
    <row r="105" spans="1:14" ht="30" customHeight="1" x14ac:dyDescent="0.2">
      <c r="A105" s="231"/>
      <c r="B105" s="235">
        <f t="shared" si="2"/>
        <v>94</v>
      </c>
      <c r="C105" s="244">
        <v>47</v>
      </c>
      <c r="D105" s="384" t="str">
        <f>IF(C105="","",LOOKUP($C105,'Cadastro de BC - Servidores'!$A$14:$B$123))</f>
        <v>Wando Ribeiro dos Santos</v>
      </c>
      <c r="E105" s="237" t="str">
        <f>IF(C105="","",LOOKUP($C105,'Cadastro de BC - Servidores'!$A$14:$D$123))</f>
        <v>Coordenadoria de Metrologia Legal</v>
      </c>
      <c r="F105" s="237" t="str">
        <f>IF(C105="","",LOOKUP($C105,'Cadastro de BC - Servidores'!$A$14:$E$123))</f>
        <v>Oficial Administrativo</v>
      </c>
      <c r="G105" s="238">
        <f>IF(C105="","",LOOKUP($C105,'Cadastro de BC - Servidores'!$A$14:$C$123))</f>
        <v>39785</v>
      </c>
      <c r="H105" s="239" t="str">
        <f>IF(C105="","",LOOKUP($C105,'Cadastro de BC - Servidores'!$A$14:$F$123))</f>
        <v>CE</v>
      </c>
      <c r="I105" s="240">
        <f>IF(C105="","",LOOKUP($C105,'Cadastro de BC - Servidores'!$A$14:$O$123))</f>
        <v>2715</v>
      </c>
      <c r="J105" s="240">
        <f>IF(C105="","",LOOKUP($C105,'Cadastro de BC - Servidores'!$A$14:$AF$123))</f>
        <v>713.75550000000021</v>
      </c>
      <c r="K105" s="240">
        <f>IF(C105="","",LOOKUP($C105,'Cadastro de BC - Servidores'!$A$14:$AG$123))</f>
        <v>2001.2444999999998</v>
      </c>
      <c r="L105" s="309"/>
      <c r="M105" s="284"/>
      <c r="N105" s="284"/>
    </row>
    <row r="106" spans="1:14" ht="14.85" customHeight="1" x14ac:dyDescent="0.25">
      <c r="D106" s="221"/>
      <c r="E106" s="221"/>
      <c r="F106" s="221"/>
      <c r="H106" s="221"/>
      <c r="I106" s="594" t="s">
        <v>474</v>
      </c>
      <c r="J106" s="594"/>
      <c r="K106" s="285">
        <v>45838</v>
      </c>
    </row>
    <row r="107" spans="1:14" ht="14.85" customHeight="1" x14ac:dyDescent="0.25">
      <c r="D107" s="221"/>
      <c r="E107" s="221"/>
      <c r="F107" s="221"/>
      <c r="H107" s="221"/>
      <c r="I107" s="221"/>
      <c r="J107" s="221"/>
      <c r="K107" s="221"/>
    </row>
    <row r="108" spans="1:14" ht="14.85" customHeight="1" x14ac:dyDescent="0.25">
      <c r="D108" s="221"/>
      <c r="E108" s="221"/>
      <c r="F108" s="221"/>
      <c r="H108" s="221"/>
      <c r="I108" s="221"/>
      <c r="J108" s="221"/>
      <c r="K108" s="221"/>
    </row>
    <row r="109" spans="1:14" ht="14.85" customHeight="1" x14ac:dyDescent="0.25">
      <c r="D109" s="221"/>
      <c r="E109" s="221"/>
      <c r="F109" s="221"/>
      <c r="H109" s="221"/>
      <c r="I109" s="221"/>
      <c r="J109" s="221"/>
      <c r="K109" s="221"/>
    </row>
    <row r="110" spans="1:14" ht="14.85" customHeight="1" x14ac:dyDescent="0.25">
      <c r="D110" s="221"/>
      <c r="E110" s="221"/>
      <c r="F110" s="221"/>
      <c r="H110" s="221"/>
      <c r="I110" s="221"/>
      <c r="J110" s="221"/>
      <c r="K110" s="221"/>
    </row>
    <row r="111" spans="1:14" ht="14.85" customHeight="1" x14ac:dyDescent="0.25">
      <c r="D111" s="221"/>
      <c r="E111" s="221"/>
      <c r="F111" s="221"/>
      <c r="H111" s="221"/>
      <c r="I111" s="221"/>
      <c r="J111" s="221"/>
      <c r="K111" s="221"/>
    </row>
    <row r="112" spans="1:14" ht="14.85" customHeight="1" x14ac:dyDescent="0.25">
      <c r="D112" s="221"/>
      <c r="E112" s="221"/>
      <c r="F112" s="221"/>
      <c r="H112" s="221"/>
      <c r="I112" s="221"/>
      <c r="J112" s="221"/>
      <c r="K112" s="221"/>
    </row>
    <row r="113" spans="4:11" ht="14.85" customHeight="1" x14ac:dyDescent="0.25">
      <c r="D113" s="221"/>
      <c r="E113" s="221"/>
      <c r="F113" s="221"/>
      <c r="H113" s="221"/>
      <c r="I113" s="221"/>
      <c r="J113" s="221"/>
      <c r="K113" s="221"/>
    </row>
    <row r="114" spans="4:11" ht="14.85" customHeight="1" x14ac:dyDescent="0.25">
      <c r="D114" s="221"/>
      <c r="E114" s="221"/>
      <c r="F114" s="221"/>
      <c r="H114" s="221"/>
      <c r="I114" s="221"/>
      <c r="J114" s="221"/>
      <c r="K114" s="221"/>
    </row>
    <row r="115" spans="4:11" ht="14.85" customHeight="1" x14ac:dyDescent="0.25">
      <c r="D115" s="221"/>
      <c r="E115" s="221"/>
      <c r="F115" s="221"/>
      <c r="H115" s="221"/>
      <c r="I115" s="221"/>
      <c r="J115" s="221"/>
      <c r="K115" s="221"/>
    </row>
    <row r="116" spans="4:11" ht="14.85" customHeight="1" x14ac:dyDescent="0.25">
      <c r="D116" s="221"/>
      <c r="E116" s="221"/>
      <c r="F116" s="221"/>
      <c r="H116" s="221"/>
      <c r="I116" s="221"/>
      <c r="J116" s="221"/>
      <c r="K116" s="221"/>
    </row>
    <row r="117" spans="4:11" ht="14.85" customHeight="1" x14ac:dyDescent="0.25">
      <c r="D117" s="221"/>
      <c r="E117" s="221"/>
      <c r="F117" s="221"/>
      <c r="H117" s="221"/>
      <c r="I117" s="221"/>
      <c r="J117" s="221"/>
      <c r="K117" s="221"/>
    </row>
    <row r="118" spans="4:11" ht="14.85" customHeight="1" x14ac:dyDescent="0.25">
      <c r="D118" s="221"/>
      <c r="E118" s="221"/>
      <c r="F118" s="221"/>
      <c r="H118" s="221"/>
      <c r="I118" s="221"/>
      <c r="J118" s="221"/>
      <c r="K118" s="221"/>
    </row>
    <row r="119" spans="4:11" ht="14.85" customHeight="1" x14ac:dyDescent="0.25">
      <c r="D119" s="221"/>
      <c r="E119" s="221"/>
      <c r="F119" s="221"/>
      <c r="H119" s="221"/>
      <c r="I119" s="221"/>
      <c r="J119" s="221"/>
      <c r="K119" s="221"/>
    </row>
    <row r="120" spans="4:11" ht="14.85" customHeight="1" x14ac:dyDescent="0.25">
      <c r="D120" s="221"/>
      <c r="E120" s="221"/>
      <c r="F120" s="221"/>
      <c r="H120" s="221"/>
      <c r="I120" s="221"/>
      <c r="J120" s="221"/>
      <c r="K120" s="221"/>
    </row>
    <row r="121" spans="4:11" ht="14.85" customHeight="1" x14ac:dyDescent="0.25">
      <c r="D121" s="221"/>
      <c r="E121" s="221"/>
      <c r="F121" s="221"/>
      <c r="H121" s="221"/>
      <c r="I121" s="221"/>
      <c r="J121" s="221"/>
      <c r="K121" s="221"/>
    </row>
    <row r="122" spans="4:11" ht="14.85" customHeight="1" x14ac:dyDescent="0.25">
      <c r="D122" s="221"/>
      <c r="E122" s="221"/>
      <c r="F122" s="221"/>
      <c r="H122" s="221"/>
      <c r="I122" s="221"/>
      <c r="J122" s="221"/>
      <c r="K122" s="221"/>
    </row>
    <row r="123" spans="4:11" ht="14.85" customHeight="1" x14ac:dyDescent="0.25">
      <c r="D123" s="221"/>
      <c r="E123" s="221"/>
      <c r="F123" s="221"/>
      <c r="H123" s="221"/>
      <c r="I123" s="221"/>
      <c r="J123" s="221"/>
      <c r="K123" s="221"/>
    </row>
    <row r="124" spans="4:11" ht="14.85" customHeight="1" x14ac:dyDescent="0.25">
      <c r="D124" s="221"/>
      <c r="E124" s="221"/>
      <c r="F124" s="221"/>
      <c r="H124" s="221"/>
      <c r="I124" s="221"/>
      <c r="J124" s="221"/>
      <c r="K124" s="221"/>
    </row>
    <row r="125" spans="4:11" ht="14.85" customHeight="1" x14ac:dyDescent="0.25">
      <c r="D125" s="221"/>
      <c r="E125" s="221"/>
      <c r="F125" s="221"/>
      <c r="H125" s="221"/>
      <c r="I125" s="221"/>
      <c r="J125" s="221"/>
      <c r="K125" s="221"/>
    </row>
    <row r="126" spans="4:11" ht="14.85" customHeight="1" x14ac:dyDescent="0.25">
      <c r="D126" s="221"/>
      <c r="E126" s="221"/>
      <c r="F126" s="221"/>
      <c r="H126" s="221"/>
      <c r="I126" s="221"/>
      <c r="J126" s="221"/>
      <c r="K126" s="221"/>
    </row>
    <row r="127" spans="4:11" ht="14.85" customHeight="1" x14ac:dyDescent="0.25">
      <c r="D127" s="221"/>
      <c r="E127" s="221"/>
      <c r="F127" s="221"/>
      <c r="H127" s="221"/>
      <c r="I127" s="221"/>
      <c r="J127" s="221"/>
      <c r="K127" s="221"/>
    </row>
    <row r="128" spans="4:11" ht="14.85" customHeight="1" x14ac:dyDescent="0.25">
      <c r="D128" s="221"/>
      <c r="E128" s="221"/>
      <c r="F128" s="221"/>
      <c r="H128" s="221"/>
      <c r="I128" s="221"/>
      <c r="J128" s="221"/>
      <c r="K128" s="221"/>
    </row>
    <row r="129" spans="4:11" ht="14.85" customHeight="1" x14ac:dyDescent="0.25">
      <c r="D129" s="221"/>
      <c r="E129" s="221"/>
      <c r="F129" s="221"/>
      <c r="H129" s="221"/>
      <c r="I129" s="221"/>
      <c r="J129" s="221"/>
      <c r="K129" s="221"/>
    </row>
    <row r="130" spans="4:11" ht="14.85" customHeight="1" x14ac:dyDescent="0.25">
      <c r="D130" s="221"/>
      <c r="E130" s="221"/>
      <c r="F130" s="221"/>
      <c r="H130" s="221"/>
      <c r="I130" s="221"/>
      <c r="J130" s="221"/>
      <c r="K130" s="221"/>
    </row>
    <row r="131" spans="4:11" ht="14.85" customHeight="1" x14ac:dyDescent="0.25">
      <c r="D131" s="221"/>
      <c r="E131" s="221"/>
      <c r="F131" s="221"/>
      <c r="H131" s="221"/>
      <c r="I131" s="221"/>
      <c r="J131" s="221"/>
      <c r="K131" s="221"/>
    </row>
    <row r="132" spans="4:11" ht="14.85" customHeight="1" x14ac:dyDescent="0.25">
      <c r="D132" s="221"/>
      <c r="E132" s="221"/>
      <c r="F132" s="221"/>
      <c r="H132" s="221"/>
      <c r="I132" s="221"/>
      <c r="J132" s="221"/>
      <c r="K132" s="221"/>
    </row>
    <row r="133" spans="4:11" ht="14.85" customHeight="1" x14ac:dyDescent="0.25">
      <c r="D133" s="221"/>
      <c r="E133" s="221"/>
      <c r="F133" s="221"/>
      <c r="H133" s="221"/>
      <c r="I133" s="221"/>
      <c r="J133" s="221"/>
      <c r="K133" s="221"/>
    </row>
    <row r="134" spans="4:11" ht="14.85" customHeight="1" x14ac:dyDescent="0.25">
      <c r="D134" s="221"/>
      <c r="E134" s="221"/>
      <c r="F134" s="221"/>
      <c r="H134" s="221"/>
      <c r="I134" s="221"/>
      <c r="J134" s="221"/>
      <c r="K134" s="221"/>
    </row>
    <row r="135" spans="4:11" ht="14.85" customHeight="1" x14ac:dyDescent="0.25">
      <c r="D135" s="221"/>
      <c r="E135" s="221"/>
      <c r="F135" s="221"/>
      <c r="H135" s="221"/>
      <c r="I135" s="221"/>
      <c r="J135" s="221"/>
      <c r="K135" s="221"/>
    </row>
    <row r="136" spans="4:11" ht="14.85" customHeight="1" x14ac:dyDescent="0.25">
      <c r="D136" s="221"/>
      <c r="E136" s="221"/>
      <c r="F136" s="221"/>
      <c r="H136" s="221"/>
      <c r="I136" s="221"/>
      <c r="J136" s="221"/>
      <c r="K136" s="221"/>
    </row>
    <row r="137" spans="4:11" ht="14.85" customHeight="1" x14ac:dyDescent="0.25">
      <c r="D137" s="221"/>
      <c r="E137" s="221"/>
      <c r="F137" s="221"/>
      <c r="H137" s="221"/>
      <c r="I137" s="221"/>
      <c r="J137" s="221"/>
      <c r="K137" s="221"/>
    </row>
    <row r="138" spans="4:11" ht="14.85" customHeight="1" x14ac:dyDescent="0.25">
      <c r="D138" s="221"/>
      <c r="E138" s="221"/>
      <c r="F138" s="221"/>
      <c r="H138" s="221"/>
      <c r="I138" s="221"/>
      <c r="J138" s="221"/>
      <c r="K138" s="221"/>
    </row>
    <row r="139" spans="4:11" ht="14.85" customHeight="1" x14ac:dyDescent="0.25">
      <c r="D139" s="221"/>
      <c r="E139" s="221"/>
      <c r="F139" s="221"/>
      <c r="H139" s="221"/>
      <c r="I139" s="221"/>
      <c r="J139" s="221"/>
      <c r="K139" s="221"/>
    </row>
    <row r="140" spans="4:11" ht="14.85" customHeight="1" x14ac:dyDescent="0.25">
      <c r="D140" s="221"/>
      <c r="E140" s="221"/>
      <c r="F140" s="221"/>
      <c r="H140" s="221"/>
      <c r="I140" s="221"/>
      <c r="J140" s="221"/>
      <c r="K140" s="221"/>
    </row>
    <row r="141" spans="4:11" ht="14.85" customHeight="1" x14ac:dyDescent="0.25">
      <c r="D141" s="221"/>
      <c r="E141" s="221"/>
      <c r="F141" s="221"/>
      <c r="H141" s="221"/>
      <c r="I141" s="221"/>
      <c r="J141" s="221"/>
      <c r="K141" s="221"/>
    </row>
    <row r="142" spans="4:11" ht="14.85" customHeight="1" x14ac:dyDescent="0.25">
      <c r="D142" s="221"/>
      <c r="E142" s="221"/>
      <c r="F142" s="221"/>
      <c r="H142" s="221"/>
      <c r="I142" s="221"/>
      <c r="J142" s="221"/>
      <c r="K142" s="221"/>
    </row>
    <row r="143" spans="4:11" ht="14.85" customHeight="1" x14ac:dyDescent="0.25">
      <c r="D143" s="221"/>
      <c r="E143" s="221"/>
      <c r="F143" s="221"/>
      <c r="H143" s="221"/>
      <c r="I143" s="221"/>
      <c r="J143" s="221"/>
      <c r="K143" s="221"/>
    </row>
  </sheetData>
  <mergeCells count="9">
    <mergeCell ref="C7:K7"/>
    <mergeCell ref="B9:K9"/>
    <mergeCell ref="B10:K10"/>
    <mergeCell ref="I106:J106"/>
    <mergeCell ref="C1:K1"/>
    <mergeCell ref="C2:K2"/>
    <mergeCell ref="C3:K3"/>
    <mergeCell ref="C4:K4"/>
    <mergeCell ref="C6:K6"/>
  </mergeCells>
  <pageMargins left="0.23611099999999999" right="0.23611099999999999" top="0.74791700000000005" bottom="0.74791700000000005" header="0.315278" footer="0.315278"/>
  <pageSetup paperSize="9" scale="70" fitToWidth="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0"/>
  <sheetViews>
    <sheetView showGridLines="0" zoomScale="85" workbookViewId="0">
      <selection activeCell="B55" sqref="B55:P55"/>
    </sheetView>
  </sheetViews>
  <sheetFormatPr defaultRowHeight="14.85" customHeight="1" x14ac:dyDescent="0.2"/>
  <cols>
    <col min="1" max="1" width="7.85546875" style="390" customWidth="1"/>
    <col min="2" max="2" width="4.42578125" style="45" customWidth="1"/>
    <col min="3" max="3" width="33.140625" style="45" customWidth="1"/>
    <col min="4" max="4" width="11.42578125" style="45" customWidth="1"/>
    <col min="5" max="5" width="16.7109375" style="45" customWidth="1"/>
    <col min="6" max="6" width="9.7109375" style="45" customWidth="1"/>
    <col min="7" max="7" width="10.28515625" style="45" customWidth="1"/>
    <col min="8" max="8" width="7.28515625" style="45" customWidth="1"/>
    <col min="9" max="9" width="12.85546875" style="45" customWidth="1"/>
    <col min="10" max="10" width="6.42578125" style="45" customWidth="1"/>
    <col min="11" max="11" width="11" style="45" customWidth="1"/>
    <col min="12" max="12" width="12.140625" style="45" customWidth="1"/>
    <col min="13" max="13" width="8.28515625" style="45" customWidth="1"/>
    <col min="14" max="14" width="11" style="45" customWidth="1"/>
    <col min="15" max="15" width="7.28515625" style="45" customWidth="1"/>
    <col min="16" max="16" width="15.7109375" style="45" customWidth="1"/>
    <col min="17" max="17" width="9.140625" style="390"/>
    <col min="18" max="20" width="9.140625" style="45"/>
    <col min="21" max="21" width="10.140625" style="45" customWidth="1"/>
    <col min="22" max="16384" width="9.140625" style="45"/>
  </cols>
  <sheetData>
    <row r="1" spans="1:21" ht="15" customHeight="1" x14ac:dyDescent="0.2">
      <c r="A1" s="386"/>
      <c r="B1" s="597" t="s">
        <v>0</v>
      </c>
      <c r="C1" s="597"/>
      <c r="D1" s="597"/>
      <c r="E1" s="597"/>
      <c r="F1" s="597"/>
      <c r="G1" s="597"/>
      <c r="H1" s="597"/>
      <c r="I1" s="597"/>
      <c r="J1" s="597"/>
      <c r="K1" s="597"/>
      <c r="L1" s="597"/>
      <c r="M1" s="597"/>
      <c r="N1" s="597"/>
      <c r="O1" s="597"/>
      <c r="P1" s="597"/>
      <c r="Q1" s="386"/>
      <c r="R1" s="313"/>
    </row>
    <row r="2" spans="1:21" ht="15" customHeight="1" x14ac:dyDescent="0.2">
      <c r="A2" s="386"/>
      <c r="B2" s="598" t="s">
        <v>1</v>
      </c>
      <c r="C2" s="598"/>
      <c r="D2" s="598"/>
      <c r="E2" s="598"/>
      <c r="F2" s="598"/>
      <c r="G2" s="598"/>
      <c r="H2" s="598"/>
      <c r="I2" s="598"/>
      <c r="J2" s="598"/>
      <c r="K2" s="598"/>
      <c r="L2" s="598"/>
      <c r="M2" s="598"/>
      <c r="N2" s="598"/>
      <c r="O2" s="598"/>
      <c r="P2" s="598"/>
      <c r="Q2" s="386"/>
      <c r="R2" s="313"/>
    </row>
    <row r="3" spans="1:21" ht="8.25" customHeight="1" x14ac:dyDescent="0.2">
      <c r="A3" s="386"/>
      <c r="B3" s="599" t="s">
        <v>2</v>
      </c>
      <c r="C3" s="599"/>
      <c r="D3" s="599"/>
      <c r="E3" s="599"/>
      <c r="F3" s="599"/>
      <c r="G3" s="599"/>
      <c r="H3" s="599"/>
      <c r="I3" s="599"/>
      <c r="J3" s="599"/>
      <c r="K3" s="599"/>
      <c r="L3" s="599"/>
      <c r="M3" s="599"/>
      <c r="N3" s="599"/>
      <c r="O3" s="599"/>
      <c r="P3" s="599"/>
      <c r="Q3" s="386"/>
      <c r="R3" s="313"/>
    </row>
    <row r="4" spans="1:21" ht="9" customHeight="1" x14ac:dyDescent="0.2">
      <c r="A4" s="386"/>
      <c r="B4" s="599" t="s">
        <v>3</v>
      </c>
      <c r="C4" s="599"/>
      <c r="D4" s="599"/>
      <c r="E4" s="599"/>
      <c r="F4" s="599"/>
      <c r="G4" s="599"/>
      <c r="H4" s="599"/>
      <c r="I4" s="599"/>
      <c r="J4" s="599"/>
      <c r="K4" s="599"/>
      <c r="L4" s="599"/>
      <c r="M4" s="599"/>
      <c r="N4" s="599"/>
      <c r="O4" s="599"/>
      <c r="P4" s="599"/>
      <c r="Q4" s="386"/>
      <c r="R4" s="313"/>
    </row>
    <row r="5" spans="1:21" ht="6" customHeight="1" x14ac:dyDescent="0.2">
      <c r="A5" s="386"/>
      <c r="B5" s="313"/>
      <c r="C5" s="314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314"/>
      <c r="P5" s="314"/>
      <c r="Q5" s="386"/>
      <c r="R5" s="313"/>
    </row>
    <row r="6" spans="1:21" ht="12.75" customHeight="1" x14ac:dyDescent="0.2">
      <c r="A6" s="386"/>
      <c r="B6" s="600" t="s">
        <v>475</v>
      </c>
      <c r="C6" s="600"/>
      <c r="D6" s="600"/>
      <c r="E6" s="600"/>
      <c r="F6" s="600"/>
      <c r="G6" s="600"/>
      <c r="H6" s="600"/>
      <c r="I6" s="600"/>
      <c r="J6" s="600"/>
      <c r="K6" s="600"/>
      <c r="L6" s="600"/>
      <c r="M6" s="600"/>
      <c r="N6" s="600"/>
      <c r="O6" s="600"/>
      <c r="P6" s="600"/>
      <c r="Q6" s="386"/>
      <c r="R6" s="313"/>
    </row>
    <row r="7" spans="1:21" ht="12.75" customHeight="1" x14ac:dyDescent="0.2">
      <c r="A7" s="386"/>
      <c r="B7" s="601" t="s">
        <v>476</v>
      </c>
      <c r="C7" s="601"/>
      <c r="D7" s="601"/>
      <c r="E7" s="601"/>
      <c r="F7" s="601"/>
      <c r="G7" s="601"/>
      <c r="H7" s="601"/>
      <c r="I7" s="601"/>
      <c r="J7" s="601"/>
      <c r="K7" s="601"/>
      <c r="L7" s="601"/>
      <c r="M7" s="601"/>
      <c r="N7" s="601"/>
      <c r="O7" s="601"/>
      <c r="P7" s="601"/>
      <c r="Q7" s="386"/>
      <c r="R7" s="313"/>
    </row>
    <row r="8" spans="1:21" s="25" customFormat="1" ht="5.25" customHeight="1" x14ac:dyDescent="0.2">
      <c r="A8" s="387"/>
      <c r="B8" s="316"/>
      <c r="C8" s="316"/>
      <c r="D8" s="316"/>
      <c r="E8" s="316"/>
      <c r="F8" s="316"/>
      <c r="G8" s="316"/>
      <c r="H8" s="316"/>
      <c r="I8" s="316"/>
      <c r="J8" s="316"/>
      <c r="K8" s="316"/>
      <c r="L8" s="316"/>
      <c r="M8" s="316"/>
      <c r="N8" s="316"/>
      <c r="O8" s="316"/>
      <c r="P8" s="315"/>
      <c r="Q8" s="387"/>
      <c r="R8" s="315"/>
    </row>
    <row r="9" spans="1:21" s="25" customFormat="1" ht="19.5" customHeight="1" x14ac:dyDescent="0.2">
      <c r="A9" s="387"/>
      <c r="B9" s="315"/>
      <c r="C9" s="317" t="s">
        <v>477</v>
      </c>
      <c r="D9" s="317"/>
      <c r="E9" s="602" t="s">
        <v>17</v>
      </c>
      <c r="F9" s="602"/>
      <c r="G9" s="602"/>
      <c r="H9" s="603">
        <f>'Cadastro de BC - Servidores'!I10</f>
        <v>181000</v>
      </c>
      <c r="I9" s="603"/>
      <c r="J9" s="318"/>
      <c r="K9" s="318"/>
      <c r="L9" s="319"/>
      <c r="M9" s="319"/>
      <c r="N9" s="319"/>
      <c r="O9" s="319"/>
      <c r="P9" s="315"/>
      <c r="Q9" s="387"/>
      <c r="R9" s="315"/>
    </row>
    <row r="10" spans="1:21" s="25" customFormat="1" ht="24.75" customHeight="1" x14ac:dyDescent="0.2">
      <c r="A10" s="387"/>
      <c r="B10" s="315"/>
      <c r="C10" s="317"/>
      <c r="D10" s="317"/>
      <c r="E10" s="317"/>
      <c r="F10" s="317"/>
      <c r="G10" s="317"/>
      <c r="H10" s="320"/>
      <c r="I10" s="318"/>
      <c r="J10" s="318"/>
      <c r="K10" s="318"/>
      <c r="L10" s="319"/>
      <c r="M10" s="319"/>
      <c r="N10" s="319"/>
      <c r="O10" s="319"/>
      <c r="P10" s="315"/>
      <c r="Q10" s="387"/>
      <c r="R10" s="315"/>
      <c r="U10" s="514"/>
    </row>
    <row r="11" spans="1:21" s="25" customFormat="1" ht="15.75" customHeight="1" x14ac:dyDescent="0.2">
      <c r="A11" s="387"/>
      <c r="B11" s="604">
        <f>'Cadastro de BC - Servidores'!E10</f>
        <v>45839</v>
      </c>
      <c r="C11" s="604"/>
      <c r="D11" s="604"/>
      <c r="E11" s="604"/>
      <c r="F11" s="604"/>
      <c r="G11" s="604"/>
      <c r="H11" s="604"/>
      <c r="I11" s="604"/>
      <c r="J11" s="605" t="s">
        <v>478</v>
      </c>
      <c r="K11" s="605"/>
      <c r="L11" s="605"/>
      <c r="M11" s="605"/>
      <c r="N11" s="605"/>
      <c r="O11" s="606" t="s">
        <v>479</v>
      </c>
      <c r="P11" s="608" t="s">
        <v>480</v>
      </c>
      <c r="Q11" s="387"/>
      <c r="R11" s="315"/>
      <c r="U11" s="514"/>
    </row>
    <row r="12" spans="1:21" s="25" customFormat="1" ht="49.5" customHeight="1" x14ac:dyDescent="0.2">
      <c r="A12" s="387"/>
      <c r="B12" s="609" t="s">
        <v>481</v>
      </c>
      <c r="C12" s="609"/>
      <c r="D12" s="321" t="s">
        <v>482</v>
      </c>
      <c r="E12" s="322" t="s">
        <v>37</v>
      </c>
      <c r="F12" s="322" t="s">
        <v>483</v>
      </c>
      <c r="G12" s="321" t="s">
        <v>484</v>
      </c>
      <c r="H12" s="321" t="s">
        <v>40</v>
      </c>
      <c r="I12" s="321" t="s">
        <v>485</v>
      </c>
      <c r="J12" s="322" t="s">
        <v>486</v>
      </c>
      <c r="K12" s="322" t="s">
        <v>487</v>
      </c>
      <c r="L12" s="323" t="s">
        <v>488</v>
      </c>
      <c r="M12" s="324" t="s">
        <v>56</v>
      </c>
      <c r="N12" s="325" t="s">
        <v>457</v>
      </c>
      <c r="O12" s="607"/>
      <c r="P12" s="608"/>
      <c r="Q12" s="387"/>
      <c r="R12" s="315"/>
      <c r="U12" s="514"/>
    </row>
    <row r="13" spans="1:21" s="25" customFormat="1" ht="12.75" customHeight="1" x14ac:dyDescent="0.2">
      <c r="A13" s="387">
        <v>1</v>
      </c>
      <c r="B13" s="326">
        <v>25</v>
      </c>
      <c r="C13" s="327" t="str">
        <f>IF(B13="","",LOOKUP($B13,'Cadastro de BC - Servidores'!A13:B127))</f>
        <v>Lucia Calumby Barreto de Mecedo</v>
      </c>
      <c r="D13" s="328">
        <f>IF(B13="","",LOOKUP(B13,'Cadastro de BC - Servidores'!A13:A127,'Cadastro de BC - Servidores'!H13:H127))</f>
        <v>305324</v>
      </c>
      <c r="E13" s="329" t="str">
        <f>IF(B13="","",LOOKUP(B13,'Cadastro de BC - Servidores'!A13:A127,'Cadastro de BC - Servidores'!I13:I127))</f>
        <v>252.453.845-15</v>
      </c>
      <c r="F13" s="329" t="str">
        <f>IF(B13="","",LOOKUP(B13,'Cadastro de BC - Servidores'!A13:A127,'Cadastro de BC - Servidores'!J13:J127))</f>
        <v>047/029</v>
      </c>
      <c r="G13" s="328" t="str">
        <f>IF(B13="","",LOOKUP(B13,'Cadastro de BC - Servidores'!A13:A127,'Cadastro de BC - Servidores'!K13:K127))</f>
        <v>03709-6</v>
      </c>
      <c r="H13" s="330">
        <f>IF(B13="","",LOOKUP(B13,'Cadastro de BC - Servidores'!A13:A127,'Cadastro de BC - Servidores'!L13:L127))</f>
        <v>2.2999999999999998</v>
      </c>
      <c r="I13" s="331">
        <f>IF(B13="","",LOOKUP(B13,'Cadastro de BC - Servidores'!$A$13:$A$130,'Cadastro de BC - Servidores'!$O$13:$O$130))</f>
        <v>4163</v>
      </c>
      <c r="J13" s="332">
        <f>IF(B13="","",LOOKUP(B13,'Cadastro de BC - Servidores'!A13:A127,'Cadastro de BC - Servidores'!T13:T127))</f>
        <v>0</v>
      </c>
      <c r="K13" s="333">
        <f>IF(B13="","",LOOKUP(B13,'Cadastro de BC - Servidores'!$A$13:$A$130,'Cadastro de BC - Servidores'!$AB$13:$AB$130))</f>
        <v>1144.8250000000012</v>
      </c>
      <c r="L13" s="334">
        <f>IF(B13="","",LOOKUP(B13,'Cadastro de BC - Servidores'!$A$13:$A$130,'Cadastro de BC - Servidores'!$AC$13:$AC$130))</f>
        <v>0</v>
      </c>
      <c r="M13" s="334">
        <f>IF(C13="","",LOOKUP(B13,'Cadastro de BC - Servidores'!A15:A129,'Cadastro de BC - Servidores'!AD15:AD129))</f>
        <v>0</v>
      </c>
      <c r="N13" s="332">
        <f t="shared" ref="N13:N47" si="0">J13+K13+L13</f>
        <v>1144.8250000000012</v>
      </c>
      <c r="O13" s="335"/>
      <c r="P13" s="331">
        <f t="shared" ref="P13:P49" si="1">I13-N13+O13</f>
        <v>3018.1749999999988</v>
      </c>
      <c r="Q13" s="387">
        <v>1</v>
      </c>
      <c r="R13" s="315"/>
      <c r="U13" s="514"/>
    </row>
    <row r="14" spans="1:21" s="85" customFormat="1" ht="12.75" customHeight="1" x14ac:dyDescent="0.2">
      <c r="A14" s="388">
        <f t="shared" ref="A14:A49" si="2">A13+1</f>
        <v>2</v>
      </c>
      <c r="B14" s="326">
        <v>48</v>
      </c>
      <c r="C14" s="327" t="str">
        <f>IF(B14="","",LOOKUP($B14,'Cadastro de BC - Servidores'!A14:B128))</f>
        <v>Abigail Vieira de A. Mendonça</v>
      </c>
      <c r="D14" s="328" t="str">
        <f>IF(B14="","",LOOKUP(B14,'Cadastro de BC - Servidores'!A14:A128,'Cadastro de BC - Servidores'!H14:H128))</f>
        <v>209.939-0</v>
      </c>
      <c r="E14" s="329" t="str">
        <f>IF(B14="","",LOOKUP(B14,'Cadastro de BC - Servidores'!A14:A128,'Cadastro de BC - Servidores'!I14:I128))</f>
        <v>119.968.625-53</v>
      </c>
      <c r="F14" s="329" t="str">
        <f>IF(B14="","",LOOKUP(B14,'Cadastro de BC - Servidores'!A14:A128,'Cadastro de BC - Servidores'!J14:J128))</f>
        <v>047/029</v>
      </c>
      <c r="G14" s="328" t="str">
        <f>IF(B14="","",LOOKUP(B14,'Cadastro de BC - Servidores'!A14:A128,'Cadastro de BC - Servidores'!K14:K128))</f>
        <v>000057-5</v>
      </c>
      <c r="H14" s="330">
        <f>IF(B14="","",LOOKUP(B14,'Cadastro de BC - Servidores'!A14:A128,'Cadastro de BC - Servidores'!L14:L128))</f>
        <v>1.5</v>
      </c>
      <c r="I14" s="331">
        <f>IF(B14="","",LOOKUP(B14,'Cadastro de BC - Servidores'!$A$13:$A$130,'Cadastro de BC - Servidores'!$O$13:$O$130))</f>
        <v>2715</v>
      </c>
      <c r="J14" s="332">
        <f>IF(B14="","",LOOKUP(B14,'Cadastro de BC - Servidores'!A14:A128,'Cadastro de BC - Servidores'!T14:T128))</f>
        <v>0</v>
      </c>
      <c r="K14" s="333">
        <f>IF(B14="","",LOOKUP(B14,'Cadastro de BC - Servidores'!$A$13:$A$130,'Cadastro de BC - Servidores'!$AB$13:$AB$130))</f>
        <v>746.62499999999977</v>
      </c>
      <c r="L14" s="334">
        <f>IF(B14="","",LOOKUP(B14,'Cadastro de BC - Servidores'!$A$13:$A$130,'Cadastro de BC - Servidores'!$AC$13:$AC$130))</f>
        <v>0</v>
      </c>
      <c r="M14" s="334">
        <f>IF(C14="","",LOOKUP(B14,'Cadastro de BC - Servidores'!A16:A130,'Cadastro de BC - Servidores'!AD16:AD130))</f>
        <v>0</v>
      </c>
      <c r="N14" s="332">
        <f t="shared" si="0"/>
        <v>746.62499999999977</v>
      </c>
      <c r="O14" s="335"/>
      <c r="P14" s="331">
        <f t="shared" si="1"/>
        <v>1968.3750000000002</v>
      </c>
      <c r="Q14" s="388">
        <f t="shared" ref="Q14:Q47" si="3">Q13+1</f>
        <v>2</v>
      </c>
      <c r="R14" s="317"/>
      <c r="U14" s="515"/>
    </row>
    <row r="15" spans="1:21" s="25" customFormat="1" ht="12.75" customHeight="1" x14ac:dyDescent="0.2">
      <c r="A15" s="388">
        <f t="shared" si="2"/>
        <v>3</v>
      </c>
      <c r="B15" s="326">
        <v>49</v>
      </c>
      <c r="C15" s="327" t="str">
        <f>IF(B15="","",LOOKUP($B15,'Cadastro de BC - Servidores'!A15:B129))</f>
        <v>Anamira dos Santos Lima</v>
      </c>
      <c r="D15" s="328">
        <f>IF(B15="","",LOOKUP(B15,'Cadastro de BC - Servidores'!A15:A129,'Cadastro de BC - Servidores'!H15:H129))</f>
        <v>404978</v>
      </c>
      <c r="E15" s="329" t="str">
        <f>IF(B15="","",LOOKUP(B15,'Cadastro de BC - Servidores'!A15:A129,'Cadastro de BC - Servidores'!I15:I129))</f>
        <v>295.935.735-34</v>
      </c>
      <c r="F15" s="329" t="str">
        <f>IF(B15="","",LOOKUP(B15,'Cadastro de BC - Servidores'!A15:A129,'Cadastro de BC - Servidores'!J15:J129))</f>
        <v>047/029</v>
      </c>
      <c r="G15" s="328" t="str">
        <f>IF(B15="","",LOOKUP(B15,'Cadastro de BC - Servidores'!A15:A129,'Cadastro de BC - Servidores'!K15:K129))</f>
        <v>003405-4</v>
      </c>
      <c r="H15" s="330">
        <f>IF(B15="","",LOOKUP(B15,'Cadastro de BC - Servidores'!A15:A129,'Cadastro de BC - Servidores'!L15:L129))</f>
        <v>1.5</v>
      </c>
      <c r="I15" s="331">
        <f>IF(B15="","",LOOKUP(B15,'Cadastro de BC - Servidores'!$A$13:$A$130,'Cadastro de BC - Servidores'!$O$13:$O$130))</f>
        <v>2715</v>
      </c>
      <c r="J15" s="332">
        <f>IF(B15="","",LOOKUP(B15,'Cadastro de BC - Servidores'!A15:A129,'Cadastro de BC - Servidores'!T15:T129))</f>
        <v>0</v>
      </c>
      <c r="K15" s="333">
        <f>IF(B15="","",LOOKUP(B15,'Cadastro de BC - Servidores'!$A$13:$A$130,'Cadastro de BC - Servidores'!$AB$13:$AB$130))</f>
        <v>739.23750000000018</v>
      </c>
      <c r="L15" s="334">
        <f>IF(B15="","",LOOKUP(B15,'Cadastro de BC - Servidores'!$A$13:$A$130,'Cadastro de BC - Servidores'!$AC$13:$AC$130))</f>
        <v>0</v>
      </c>
      <c r="M15" s="334">
        <f>IF(C15="","",LOOKUP(B15,'Cadastro de BC - Servidores'!A17:A131,'Cadastro de BC - Servidores'!AD17:AD131))</f>
        <v>0</v>
      </c>
      <c r="N15" s="332">
        <f t="shared" si="0"/>
        <v>739.23750000000018</v>
      </c>
      <c r="O15" s="335"/>
      <c r="P15" s="331">
        <f t="shared" si="1"/>
        <v>1975.7624999999998</v>
      </c>
      <c r="Q15" s="388">
        <f t="shared" si="3"/>
        <v>3</v>
      </c>
      <c r="R15" s="315"/>
      <c r="U15" s="514"/>
    </row>
    <row r="16" spans="1:21" s="25" customFormat="1" ht="12.75" customHeight="1" x14ac:dyDescent="0.2">
      <c r="A16" s="388">
        <f t="shared" si="2"/>
        <v>4</v>
      </c>
      <c r="B16" s="326">
        <v>50</v>
      </c>
      <c r="C16" s="327" t="str">
        <f>IF(B16="","",LOOKUP($B16,'Cadastro de BC - Servidores'!A16:B130))</f>
        <v>Ana Inêz Moraes de Faria</v>
      </c>
      <c r="D16" s="328" t="str">
        <f>IF(B16="","",LOOKUP(B16,'Cadastro de BC - Servidores'!A16:A130,'Cadastro de BC - Servidores'!H16:H130))</f>
        <v>361.188-4</v>
      </c>
      <c r="E16" s="329" t="str">
        <f>IF(B16="","",LOOKUP(B16,'Cadastro de BC - Servidores'!A16:A130,'Cadastro de BC - Servidores'!I16:I130))</f>
        <v>103.275.175-49</v>
      </c>
      <c r="F16" s="329" t="str">
        <f>IF(B16="","",LOOKUP(B16,'Cadastro de BC - Servidores'!A16:A130,'Cadastro de BC - Servidores'!J16:J130))</f>
        <v>047/029</v>
      </c>
      <c r="G16" s="328" t="str">
        <f>IF(B16="","",LOOKUP(B16,'Cadastro de BC - Servidores'!A16:A130,'Cadastro de BC - Servidores'!K16:K130))</f>
        <v>005561-2</v>
      </c>
      <c r="H16" s="330">
        <f>IF(B16="","",LOOKUP(B16,'Cadastro de BC - Servidores'!A16:A130,'Cadastro de BC - Servidores'!L16:L130))</f>
        <v>0.75</v>
      </c>
      <c r="I16" s="331">
        <f>IF(B16="","",LOOKUP(B16,'Cadastro de BC - Servidores'!$A$13:$A$130,'Cadastro de BC - Servidores'!$O$13:$O$130))</f>
        <v>1357.5</v>
      </c>
      <c r="J16" s="332">
        <f>IF(B16="","",LOOKUP(B16,'Cadastro de BC - Servidores'!A16:A130,'Cadastro de BC - Servidores'!T16:T130))</f>
        <v>0</v>
      </c>
      <c r="K16" s="333">
        <f>IF(B16="","",LOOKUP(B16,'Cadastro de BC - Servidores'!$A$13:$A$130,'Cadastro de BC - Servidores'!$AB$13:$AB$130))</f>
        <v>353.08399999999995</v>
      </c>
      <c r="L16" s="334">
        <f>IF(B16="","",LOOKUP(B16,'Cadastro de BC - Servidores'!$A$13:$A$130,'Cadastro de BC - Servidores'!$AC$13:$AC$130))</f>
        <v>0</v>
      </c>
      <c r="M16" s="334">
        <f>IF(C16="","",LOOKUP(B16,'Cadastro de BC - Servidores'!A18:A132,'Cadastro de BC - Servidores'!AD18:AD132))</f>
        <v>0</v>
      </c>
      <c r="N16" s="332">
        <f t="shared" si="0"/>
        <v>353.08399999999995</v>
      </c>
      <c r="O16" s="335"/>
      <c r="P16" s="331">
        <f t="shared" si="1"/>
        <v>1004.4160000000001</v>
      </c>
      <c r="Q16" s="388">
        <f t="shared" si="3"/>
        <v>4</v>
      </c>
      <c r="R16" s="315"/>
      <c r="U16" s="514"/>
    </row>
    <row r="17" spans="1:21" s="25" customFormat="1" ht="12.75" customHeight="1" x14ac:dyDescent="0.2">
      <c r="A17" s="388">
        <f t="shared" si="2"/>
        <v>5</v>
      </c>
      <c r="B17" s="326">
        <v>51</v>
      </c>
      <c r="C17" s="327" t="str">
        <f>IF(B17="","",LOOKUP($B17,'Cadastro de BC - Servidores'!A17:B131))</f>
        <v>Ana Maria Alves dos Santos</v>
      </c>
      <c r="D17" s="328" t="str">
        <f>IF(B17="","",LOOKUP(B17,'Cadastro de BC - Servidores'!A17:A131,'Cadastro de BC - Servidores'!H17:H131))</f>
        <v>503.226-1</v>
      </c>
      <c r="E17" s="329" t="str">
        <f>IF(B17="","",LOOKUP(B17,'Cadastro de BC - Servidores'!A17:A131,'Cadastro de BC - Servidores'!I17:I131))</f>
        <v>236.232.335-87</v>
      </c>
      <c r="F17" s="329" t="str">
        <f>IF(B17="","",LOOKUP(B17,'Cadastro de BC - Servidores'!A17:A131,'Cadastro de BC - Servidores'!J17:J131))</f>
        <v>047/014</v>
      </c>
      <c r="G17" s="328" t="str">
        <f>IF(B17="","",LOOKUP(B17,'Cadastro de BC - Servidores'!A17:A131,'Cadastro de BC - Servidores'!K17:K131))</f>
        <v>041160-5</v>
      </c>
      <c r="H17" s="330">
        <f>IF(B17="","",LOOKUP(B17,'Cadastro de BC - Servidores'!A17:A131,'Cadastro de BC - Servidores'!L17:L131))</f>
        <v>0.41</v>
      </c>
      <c r="I17" s="331">
        <f>IF(B17="","",LOOKUP(B17,'Cadastro de BC - Servidores'!$A$13:$A$130,'Cadastro de BC - Servidores'!$O$13:$O$130))</f>
        <v>742.09999999999991</v>
      </c>
      <c r="J17" s="332">
        <f>IF(B17="","",LOOKUP(B17,'Cadastro de BC - Servidores'!A17:A131,'Cadastro de BC - Servidores'!T17:T131))</f>
        <v>0</v>
      </c>
      <c r="K17" s="333">
        <f>IF(B17="","",LOOKUP(B17,'Cadastro de BC - Servidores'!$A$13:$A$130,'Cadastro de BC - Servidores'!$AB$13:$AB$130))</f>
        <v>204.0775000000001</v>
      </c>
      <c r="L17" s="334">
        <f>IF(B17="","",LOOKUP(B17,'Cadastro de BC - Servidores'!$A$13:$A$130,'Cadastro de BC - Servidores'!$AC$13:$AC$130))</f>
        <v>0</v>
      </c>
      <c r="M17" s="334">
        <f>IF(C17="","",LOOKUP(B17,'Cadastro de BC - Servidores'!A19:A133,'Cadastro de BC - Servidores'!AD19:AD133))</f>
        <v>0</v>
      </c>
      <c r="N17" s="332">
        <f t="shared" si="0"/>
        <v>204.0775000000001</v>
      </c>
      <c r="O17" s="335"/>
      <c r="P17" s="331">
        <f t="shared" si="1"/>
        <v>538.02249999999981</v>
      </c>
      <c r="Q17" s="388">
        <f t="shared" si="3"/>
        <v>5</v>
      </c>
      <c r="R17" s="315"/>
      <c r="U17" s="514"/>
    </row>
    <row r="18" spans="1:21" s="25" customFormat="1" ht="12.75" customHeight="1" x14ac:dyDescent="0.2">
      <c r="A18" s="388">
        <f t="shared" si="2"/>
        <v>6</v>
      </c>
      <c r="B18" s="326">
        <v>52</v>
      </c>
      <c r="C18" s="327" t="str">
        <f>IF(B18="","",LOOKUP($B18,'Cadastro de BC - Servidores'!A18:B132))</f>
        <v>Ana Paula Araújo Costa</v>
      </c>
      <c r="D18" s="328" t="str">
        <f>IF(B18="","",LOOKUP(B18,'Cadastro de BC - Servidores'!A18:A132,'Cadastro de BC - Servidores'!H18:H132))</f>
        <v>503.226-1</v>
      </c>
      <c r="E18" s="329" t="str">
        <f>IF(B18="","",LOOKUP(B18,'Cadastro de BC - Servidores'!A18:A132,'Cadastro de BC - Servidores'!I18:I132))</f>
        <v>217.024.545-68</v>
      </c>
      <c r="F18" s="329" t="str">
        <f>IF(B18="","",LOOKUP(B18,'Cadastro de BC - Servidores'!A18:A132,'Cadastro de BC - Servidores'!J18:J132))</f>
        <v>047/048</v>
      </c>
      <c r="G18" s="328" t="str">
        <f>IF(B18="","",LOOKUP(B18,'Cadastro de BC - Servidores'!A18:A132,'Cadastro de BC - Servidores'!K18:K132))</f>
        <v>003283-0</v>
      </c>
      <c r="H18" s="330">
        <f>IF(B18="","",LOOKUP(B18,'Cadastro de BC - Servidores'!A18:A132,'Cadastro de BC - Servidores'!L18:L132))</f>
        <v>1.5</v>
      </c>
      <c r="I18" s="331">
        <f>IF(B18="","",LOOKUP(B18,'Cadastro de BC - Servidores'!$A$13:$A$130,'Cadastro de BC - Servidores'!$O$13:$O$130))</f>
        <v>2715</v>
      </c>
      <c r="J18" s="332">
        <f>IF(B18="","",LOOKUP(B18,'Cadastro de BC - Servidores'!A18:A132,'Cadastro de BC - Servidores'!T18:T132))</f>
        <v>0</v>
      </c>
      <c r="K18" s="333">
        <f>IF(B18="","",LOOKUP(B18,'Cadastro de BC - Servidores'!$A$13:$A$130,'Cadastro de BC - Servidores'!$AB$13:$AB$130))</f>
        <v>737.29000000000008</v>
      </c>
      <c r="L18" s="334">
        <f>IF(B18="","",LOOKUP(B18,'Cadastro de BC - Servidores'!$A$13:$A$130,'Cadastro de BC - Servidores'!$AC$13:$AC$130))</f>
        <v>0</v>
      </c>
      <c r="M18" s="334">
        <f>IF(C18="","",LOOKUP(B18,'Cadastro de BC - Servidores'!A20:A134,'Cadastro de BC - Servidores'!AD20:AD134))</f>
        <v>0</v>
      </c>
      <c r="N18" s="332">
        <f t="shared" si="0"/>
        <v>737.29000000000008</v>
      </c>
      <c r="O18" s="335"/>
      <c r="P18" s="331">
        <f t="shared" si="1"/>
        <v>1977.71</v>
      </c>
      <c r="Q18" s="388">
        <f t="shared" si="3"/>
        <v>6</v>
      </c>
      <c r="R18" s="315"/>
      <c r="U18" s="514"/>
    </row>
    <row r="19" spans="1:21" s="25" customFormat="1" ht="12.75" customHeight="1" x14ac:dyDescent="0.2">
      <c r="A19" s="388">
        <f t="shared" si="2"/>
        <v>7</v>
      </c>
      <c r="B19" s="326">
        <v>53</v>
      </c>
      <c r="C19" s="327" t="str">
        <f>IF(B19="","",LOOKUP($B19,'Cadastro de BC - Servidores'!A19:B133))</f>
        <v>Anselmo Alves Secundo</v>
      </c>
      <c r="D19" s="328" t="str">
        <f>IF(B19="","",LOOKUP(B19,'Cadastro de BC - Servidores'!A19:A133,'Cadastro de BC - Servidores'!H19:H133))</f>
        <v>685.503-2</v>
      </c>
      <c r="E19" s="329" t="str">
        <f>IF(B19="","",LOOKUP(B19,'Cadastro de BC - Servidores'!A19:A133,'Cadastro de BC - Servidores'!I19:I133))</f>
        <v>361.612.925-72</v>
      </c>
      <c r="F19" s="329" t="str">
        <f>IF(B19="","",LOOKUP(B19,'Cadastro de BC - Servidores'!A19:A133,'Cadastro de BC - Servidores'!J19:J133))</f>
        <v>047/029</v>
      </c>
      <c r="G19" s="328" t="str">
        <f>IF(B19="","",LOOKUP(B19,'Cadastro de BC - Servidores'!A19:A133,'Cadastro de BC - Servidores'!K19:K133))</f>
        <v>002531-4</v>
      </c>
      <c r="H19" s="330">
        <f>IF(B19="","",LOOKUP(B19,'Cadastro de BC - Servidores'!A19:A133,'Cadastro de BC - Servidores'!L19:L133))</f>
        <v>1.5</v>
      </c>
      <c r="I19" s="331">
        <f>IF(B19="","",LOOKUP(B19,'Cadastro de BC - Servidores'!$A$13:$A$130,'Cadastro de BC - Servidores'!$O$13:$O$130))</f>
        <v>2715</v>
      </c>
      <c r="J19" s="332">
        <f>IF(B19="","",LOOKUP(B19,'Cadastro de BC - Servidores'!A19:A133,'Cadastro de BC - Servidores'!T19:T133))</f>
        <v>0</v>
      </c>
      <c r="K19" s="333">
        <f>IF(B19="","",LOOKUP(B19,'Cadastro de BC - Servidores'!$A$13:$A$130,'Cadastro de BC - Servidores'!$AB$13:$AB$130))</f>
        <v>693.84125000000017</v>
      </c>
      <c r="L19" s="334">
        <f>IF(B19="","",LOOKUP(B19,'Cadastro de BC - Servidores'!$A$13:$A$130,'Cadastro de BC - Servidores'!$AC$13:$AC$130))</f>
        <v>0</v>
      </c>
      <c r="M19" s="334">
        <f>IF(C19="","",LOOKUP(B19,'Cadastro de BC - Servidores'!A22:A135,'Cadastro de BC - Servidores'!AD22:AD135))</f>
        <v>0</v>
      </c>
      <c r="N19" s="332">
        <f t="shared" si="0"/>
        <v>693.84125000000017</v>
      </c>
      <c r="O19" s="335"/>
      <c r="P19" s="331">
        <f t="shared" si="1"/>
        <v>2021.1587499999998</v>
      </c>
      <c r="Q19" s="388">
        <f t="shared" si="3"/>
        <v>7</v>
      </c>
      <c r="R19" s="315"/>
      <c r="U19" s="514"/>
    </row>
    <row r="20" spans="1:21" s="25" customFormat="1" ht="12.75" customHeight="1" x14ac:dyDescent="0.2">
      <c r="A20" s="388">
        <f t="shared" si="2"/>
        <v>8</v>
      </c>
      <c r="B20" s="326">
        <v>55</v>
      </c>
      <c r="C20" s="327" t="str">
        <f>IF(B20="","",LOOKUP($B20,'Cadastro de BC - Servidores'!A22:B135))</f>
        <v>Carlos Roberto dos Santos</v>
      </c>
      <c r="D20" s="328" t="str">
        <f>IF(B20="","",LOOKUP(B20,'Cadastro de BC - Servidores'!A20:A134,'Cadastro de BC - Servidores'!H20:H134))</f>
        <v>578.020-9</v>
      </c>
      <c r="E20" s="329" t="str">
        <f>IF(B20="","",LOOKUP(B20,'Cadastro de BC - Servidores'!A20:A134,'Cadastro de BC - Servidores'!I20:I134))</f>
        <v>269.803.805-59</v>
      </c>
      <c r="F20" s="329" t="str">
        <f>IF(B20="","",LOOKUP(B20,'Cadastro de BC - Servidores'!A20:A134,'Cadastro de BC - Servidores'!J20:J134))</f>
        <v>047/029</v>
      </c>
      <c r="G20" s="328" t="str">
        <f>IF(B20="","",LOOKUP(B20,'Cadastro de BC - Servidores'!A20:A134,'Cadastro de BC - Servidores'!K20:K134))</f>
        <v>017403-4</v>
      </c>
      <c r="H20" s="330">
        <f>IF(B20="","",LOOKUP(B20,'Cadastro de BC - Servidores'!A20:A134,'Cadastro de BC - Servidores'!L20:L134))</f>
        <v>0.41</v>
      </c>
      <c r="I20" s="331">
        <f>IF(B20="","",LOOKUP(B20,'Cadastro de BC - Servidores'!$A$13:$A$130,'Cadastro de BC - Servidores'!$O$13:$O$130))</f>
        <v>742.09999999999991</v>
      </c>
      <c r="J20" s="332">
        <f>IF(B20="","",LOOKUP(B20,'Cadastro de BC - Servidores'!A20:A134,'Cadastro de BC - Servidores'!T20:T134))</f>
        <v>0</v>
      </c>
      <c r="K20" s="333">
        <f>IF(B20="","",LOOKUP(B20,'Cadastro de BC - Servidores'!$A$13:$A$130,'Cadastro de BC - Servidores'!$AB$13:$AB$130))</f>
        <v>136.77325000000002</v>
      </c>
      <c r="L20" s="334">
        <f>IF(B20="","",LOOKUP(B20,'Cadastro de BC - Servidores'!$A$13:$A$130,'Cadastro de BC - Servidores'!$AC$13:$AC$130))</f>
        <v>0</v>
      </c>
      <c r="M20" s="334">
        <f>IF(C20="","",LOOKUP(B20,'Cadastro de BC - Servidores'!A24:A137,'Cadastro de BC - Servidores'!AD24:AD137))</f>
        <v>0</v>
      </c>
      <c r="N20" s="332">
        <f t="shared" si="0"/>
        <v>136.77325000000002</v>
      </c>
      <c r="O20" s="335"/>
      <c r="P20" s="331">
        <f t="shared" si="1"/>
        <v>605.32674999999995</v>
      </c>
      <c r="Q20" s="388">
        <f t="shared" si="3"/>
        <v>8</v>
      </c>
      <c r="R20" s="315"/>
      <c r="U20" s="514"/>
    </row>
    <row r="21" spans="1:21" s="25" customFormat="1" ht="12.75" customHeight="1" x14ac:dyDescent="0.2">
      <c r="A21" s="388">
        <f t="shared" si="2"/>
        <v>9</v>
      </c>
      <c r="B21" s="326">
        <v>56</v>
      </c>
      <c r="C21" s="327" t="str">
        <f>IF(B21="","",LOOKUP($B21,'Cadastro de BC - Servidores'!A23:B136))</f>
        <v>Eleilde Santos da Cruz</v>
      </c>
      <c r="D21" s="328" t="str">
        <f>IF(B21="","",LOOKUP(B21,'Cadastro de BC - Servidores'!A21:A135,'Cadastro de BC - Servidores'!H21:H135))</f>
        <v>467.138-4</v>
      </c>
      <c r="E21" s="329" t="str">
        <f>IF(B21="","",LOOKUP(B21,'Cadastro de BC - Servidores'!A21:A135,'Cadastro de BC - Servidores'!I21:I135))</f>
        <v>235.970.205-00</v>
      </c>
      <c r="F21" s="329" t="str">
        <f>IF(B21="","",LOOKUP(B21,'Cadastro de BC - Servidores'!A21:A135,'Cadastro de BC - Servidores'!J21:J135))</f>
        <v>047/029</v>
      </c>
      <c r="G21" s="328" t="str">
        <f>IF(B21="","",LOOKUP(B21,'Cadastro de BC - Servidores'!A21:A135,'Cadastro de BC - Servidores'!K21:K135))</f>
        <v>011514-3</v>
      </c>
      <c r="H21" s="330">
        <f>IF(B21="","",LOOKUP(B21,'Cadastro de BC - Servidores'!A21:A135,'Cadastro de BC - Servidores'!L21:L135))</f>
        <v>0.75</v>
      </c>
      <c r="I21" s="331">
        <f>IF(B21="","",LOOKUP(B21,'Cadastro de BC - Servidores'!$A$13:$A$130,'Cadastro de BC - Servidores'!$O$13:$O$130))</f>
        <v>1357.5</v>
      </c>
      <c r="J21" s="332">
        <f>IF(B21="","",LOOKUP(B21,'Cadastro de BC - Servidores'!A21:A135,'Cadastro de BC - Servidores'!T21:T135))</f>
        <v>0</v>
      </c>
      <c r="K21" s="333">
        <f>IF(B21="","",LOOKUP(B21,'Cadastro de BC - Servidores'!$A$13:$A$130,'Cadastro de BC - Servidores'!$AB$13:$AB$130))</f>
        <v>341.26299999999992</v>
      </c>
      <c r="L21" s="334">
        <f>IF(B21="","",LOOKUP(B21,'Cadastro de BC - Servidores'!$A$13:$A$130,'Cadastro de BC - Servidores'!$AC$13:$AC$130))</f>
        <v>0</v>
      </c>
      <c r="M21" s="334">
        <f>IF(C21="","",LOOKUP(B21,'Cadastro de BC - Servidores'!A25:A138,'Cadastro de BC - Servidores'!AD25:AD138))</f>
        <v>0</v>
      </c>
      <c r="N21" s="332">
        <f t="shared" si="0"/>
        <v>341.26299999999992</v>
      </c>
      <c r="O21" s="335"/>
      <c r="P21" s="331">
        <f t="shared" si="1"/>
        <v>1016.2370000000001</v>
      </c>
      <c r="Q21" s="388">
        <f t="shared" si="3"/>
        <v>9</v>
      </c>
      <c r="R21" s="315"/>
      <c r="U21" s="514"/>
    </row>
    <row r="22" spans="1:21" s="25" customFormat="1" ht="12.75" customHeight="1" x14ac:dyDescent="0.2">
      <c r="A22" s="388">
        <f t="shared" si="2"/>
        <v>10</v>
      </c>
      <c r="B22" s="326">
        <v>59</v>
      </c>
      <c r="C22" s="327" t="str">
        <f>IF(B22="","",LOOKUP($B22,'Cadastro de BC - Servidores'!A24:B137))</f>
        <v>Francisco Gonçalves dos S. Junior</v>
      </c>
      <c r="D22" s="328" t="str">
        <f>IF(B22="","",LOOKUP(B22,'Cadastro de BC - Servidores'!A22:A136,'Cadastro de BC - Servidores'!H22:H136))</f>
        <v>664.571-2</v>
      </c>
      <c r="E22" s="329" t="str">
        <f>IF(B22="","",LOOKUP(B22,'Cadastro de BC - Servidores'!A22:A136,'Cadastro de BC - Servidores'!I22:I136))</f>
        <v>336.967.995-72</v>
      </c>
      <c r="F22" s="329" t="str">
        <f>IF(B22="","",LOOKUP(B22,'Cadastro de BC - Servidores'!A22:A136,'Cadastro de BC - Servidores'!J22:J136))</f>
        <v>047/029</v>
      </c>
      <c r="G22" s="328" t="str">
        <f>IF(B22="","",LOOKUP(B22,'Cadastro de BC - Servidores'!A22:A136,'Cadastro de BC - Servidores'!K22:K136))</f>
        <v>003296-5</v>
      </c>
      <c r="H22" s="330">
        <f>IF(B22="","",LOOKUP(B22,'Cadastro de BC - Servidores'!A22:A136,'Cadastro de BC - Servidores'!L22:L136))</f>
        <v>1.1499999999999999</v>
      </c>
      <c r="I22" s="331">
        <f>IF(B22="","",LOOKUP(B22,'Cadastro de BC - Servidores'!$A$13:$A$130,'Cadastro de BC - Servidores'!$O$13:$O$130))</f>
        <v>2081.5</v>
      </c>
      <c r="J22" s="332">
        <f>IF(B22="","",LOOKUP(B22,'Cadastro de BC - Servidores'!A22:A136,'Cadastro de BC - Servidores'!T22:T136))</f>
        <v>0</v>
      </c>
      <c r="K22" s="333">
        <f>IF(B22="","",LOOKUP(B22,'Cadastro de BC - Servidores'!$A$13:$A$130,'Cadastro de BC - Servidores'!$AB$13:$AB$130))</f>
        <v>427.3325000000001</v>
      </c>
      <c r="L22" s="334">
        <f>IF(B22="","",LOOKUP(B22,'Cadastro de BC - Servidores'!$A$13:$A$130,'Cadastro de BC - Servidores'!$AC$13:$AC$130))</f>
        <v>0</v>
      </c>
      <c r="M22" s="334">
        <f>IF(C22="","",LOOKUP(B22,'Cadastro de BC - Servidores'!A26:A139,'Cadastro de BC - Servidores'!AD26:AD139))</f>
        <v>0</v>
      </c>
      <c r="N22" s="332">
        <f t="shared" si="0"/>
        <v>427.3325000000001</v>
      </c>
      <c r="O22" s="335"/>
      <c r="P22" s="331">
        <f t="shared" si="1"/>
        <v>1654.1675</v>
      </c>
      <c r="Q22" s="388">
        <f t="shared" si="3"/>
        <v>10</v>
      </c>
      <c r="R22" s="315"/>
      <c r="U22" s="514"/>
    </row>
    <row r="23" spans="1:21" s="25" customFormat="1" ht="12.75" customHeight="1" x14ac:dyDescent="0.2">
      <c r="A23" s="388">
        <f t="shared" si="2"/>
        <v>11</v>
      </c>
      <c r="B23" s="326">
        <v>60</v>
      </c>
      <c r="C23" s="327" t="str">
        <f>IF(B23="","",LOOKUP($B23,'Cadastro de BC - Servidores'!A25:B138))</f>
        <v>Gláucia Maria Andrade Ferreira</v>
      </c>
      <c r="D23" s="328" t="str">
        <f>IF(B23="","",LOOKUP(B23,'Cadastro de BC - Servidores'!A23:A137,'Cadastro de BC - Servidores'!H23:H137))</f>
        <v>584.481-9</v>
      </c>
      <c r="E23" s="329" t="str">
        <f>IF(B23="","",LOOKUP(B23,'Cadastro de BC - Servidores'!A23:A137,'Cadastro de BC - Servidores'!I23:I137))</f>
        <v>201.934.755-53</v>
      </c>
      <c r="F23" s="329" t="str">
        <f>IF(B23="","",LOOKUP(B23,'Cadastro de BC - Servidores'!A23:A137,'Cadastro de BC - Servidores'!J23:J137))</f>
        <v>047/029</v>
      </c>
      <c r="G23" s="328" t="str">
        <f>IF(B23="","",LOOKUP(B23,'Cadastro de BC - Servidores'!A23:A137,'Cadastro de BC - Servidores'!K23:K137))</f>
        <v>011021-4</v>
      </c>
      <c r="H23" s="330">
        <f>IF(B23="","",LOOKUP(B23,'Cadastro de BC - Servidores'!A23:A137,'Cadastro de BC - Servidores'!L23:L137))</f>
        <v>0.41</v>
      </c>
      <c r="I23" s="331">
        <f>IF(B23="","",LOOKUP(B23,'Cadastro de BC - Servidores'!$A$13:$A$130,'Cadastro de BC - Servidores'!$O$13:$O$130))</f>
        <v>742.09999999999991</v>
      </c>
      <c r="J23" s="332">
        <f>IF(B23="","",LOOKUP(B23,'Cadastro de BC - Servidores'!A23:A137,'Cadastro de BC - Servidores'!T23:T137))</f>
        <v>0</v>
      </c>
      <c r="K23" s="333">
        <f>IF(B23="","",LOOKUP(B23,'Cadastro de BC - Servidores'!$A$13:$A$130,'Cadastro de BC - Servidores'!$AB$13:$AB$130))</f>
        <v>185.12699999999995</v>
      </c>
      <c r="L23" s="334">
        <f>IF(B23="","",LOOKUP(B23,'Cadastro de BC - Servidores'!$A$13:$A$130,'Cadastro de BC - Servidores'!$AC$13:$AC$130))</f>
        <v>0</v>
      </c>
      <c r="M23" s="334">
        <f>IF(C23="","",LOOKUP(B23,'Cadastro de BC - Servidores'!A27:A140,'Cadastro de BC - Servidores'!AD27:AD140))</f>
        <v>0</v>
      </c>
      <c r="N23" s="332">
        <f t="shared" si="0"/>
        <v>185.12699999999995</v>
      </c>
      <c r="O23" s="335"/>
      <c r="P23" s="331">
        <f t="shared" si="1"/>
        <v>556.97299999999996</v>
      </c>
      <c r="Q23" s="388">
        <f t="shared" si="3"/>
        <v>11</v>
      </c>
      <c r="R23" s="315"/>
      <c r="U23" s="514"/>
    </row>
    <row r="24" spans="1:21" s="46" customFormat="1" ht="12.75" customHeight="1" x14ac:dyDescent="0.2">
      <c r="A24" s="388">
        <f t="shared" si="2"/>
        <v>12</v>
      </c>
      <c r="B24" s="326">
        <v>61</v>
      </c>
      <c r="C24" s="327" t="str">
        <f>IF(B24="","",LOOKUP($B24,'Cadastro de BC - Servidores'!A26:B139))</f>
        <v>Grace Cristina Almeida Fonseca</v>
      </c>
      <c r="D24" s="328" t="str">
        <f>IF(B24="","",LOOKUP(B24,'Cadastro de BC - Servidores'!A24:A138,'Cadastro de BC - Servidores'!H24:H138))</f>
        <v>841.331-2</v>
      </c>
      <c r="E24" s="329" t="str">
        <f>IF(B24="","",LOOKUP(B24,'Cadastro de BC - Servidores'!A24:A138,'Cadastro de BC - Servidores'!I24:I138))</f>
        <v>415.332.405-15</v>
      </c>
      <c r="F24" s="329" t="str">
        <f>IF(B24="","",LOOKUP(B24,'Cadastro de BC - Servidores'!A24:A138,'Cadastro de BC - Servidores'!J24:J138))</f>
        <v>047/029</v>
      </c>
      <c r="G24" s="328" t="str">
        <f>IF(B24="","",LOOKUP(B24,'Cadastro de BC - Servidores'!A24:A138,'Cadastro de BC - Servidores'!K24:K138))</f>
        <v>52795-6</v>
      </c>
      <c r="H24" s="330">
        <f>IF(B24="","",LOOKUP(B24,'Cadastro de BC - Servidores'!A24:A138,'Cadastro de BC - Servidores'!L24:L138))</f>
        <v>0.6</v>
      </c>
      <c r="I24" s="331">
        <f>IF(B24="","",LOOKUP(B24,'Cadastro de BC - Servidores'!$A$13:$A$130,'Cadastro de BC - Servidores'!$O$13:$O$130))</f>
        <v>1086</v>
      </c>
      <c r="J24" s="332">
        <f>IF(B24="","",LOOKUP(B24,'Cadastro de BC - Servidores'!A24:A138,'Cadastro de BC - Servidores'!T24:T138))</f>
        <v>0</v>
      </c>
      <c r="K24" s="333">
        <f>IF(B24="","",LOOKUP(B24,'Cadastro de BC - Servidores'!$A$13:$A$130,'Cadastro de BC - Servidores'!$AB$13:$AB$130))</f>
        <v>266.04400000000021</v>
      </c>
      <c r="L24" s="334">
        <f>IF(B24="","",LOOKUP(B24,'Cadastro de BC - Servidores'!$A$13:$A$130,'Cadastro de BC - Servidores'!$AC$13:$AC$130))</f>
        <v>0</v>
      </c>
      <c r="M24" s="334">
        <f>IF(C24="","",LOOKUP(B24,'Cadastro de BC - Servidores'!A28:A141,'Cadastro de BC - Servidores'!AD28:AD141))</f>
        <v>0</v>
      </c>
      <c r="N24" s="332">
        <f t="shared" si="0"/>
        <v>266.04400000000021</v>
      </c>
      <c r="O24" s="335"/>
      <c r="P24" s="331">
        <f t="shared" si="1"/>
        <v>819.95599999999979</v>
      </c>
      <c r="Q24" s="388">
        <f t="shared" si="3"/>
        <v>12</v>
      </c>
      <c r="R24" s="336"/>
      <c r="U24" s="514"/>
    </row>
    <row r="25" spans="1:21" s="25" customFormat="1" ht="12.75" customHeight="1" x14ac:dyDescent="0.2">
      <c r="A25" s="388">
        <f t="shared" si="2"/>
        <v>13</v>
      </c>
      <c r="B25" s="326">
        <v>62</v>
      </c>
      <c r="C25" s="327" t="str">
        <f>IF(B25="","",LOOKUP($B25,'Cadastro de BC - Servidores'!A27:B140))</f>
        <v>Irene Alves Campos Santana</v>
      </c>
      <c r="D25" s="328" t="str">
        <f>IF(B25="","",LOOKUP(B25,'Cadastro de BC - Servidores'!A25:A139,'Cadastro de BC - Servidores'!H25:H139))</f>
        <v>291.081-0</v>
      </c>
      <c r="E25" s="329" t="str">
        <f>IF(B25="","",LOOKUP(B25,'Cadastro de BC - Servidores'!A25:A139,'Cadastro de BC - Servidores'!I25:I139))</f>
        <v>153.978.405-30</v>
      </c>
      <c r="F25" s="329" t="str">
        <f>IF(B25="","",LOOKUP(B25,'Cadastro de BC - Servidores'!A25:A139,'Cadastro de BC - Servidores'!J25:J139))</f>
        <v>047/029</v>
      </c>
      <c r="G25" s="328" t="str">
        <f>IF(B25="","",LOOKUP(B25,'Cadastro de BC - Servidores'!A25:A139,'Cadastro de BC - Servidores'!K25:K139))</f>
        <v>020.304-2</v>
      </c>
      <c r="H25" s="330">
        <f>IF(B25="","",LOOKUP(B25,'Cadastro de BC - Servidores'!A25:A139,'Cadastro de BC - Servidores'!L25:L139))</f>
        <v>0.41</v>
      </c>
      <c r="I25" s="331">
        <f>IF(B25="","",LOOKUP(B25,'Cadastro de BC - Servidores'!$A$13:$A$130,'Cadastro de BC - Servidores'!$O$13:$O$130))</f>
        <v>742.09999999999991</v>
      </c>
      <c r="J25" s="332">
        <f>IF(B25="","",LOOKUP(B25,'Cadastro de BC - Servidores'!A25:A139,'Cadastro de BC - Servidores'!T25:T139))</f>
        <v>0</v>
      </c>
      <c r="K25" s="333">
        <f>IF(B25="","",LOOKUP(B25,'Cadastro de BC - Servidores'!$A$13:$A$130,'Cadastro de BC - Servidores'!$AB$13:$AB$130))</f>
        <v>204.07749999999987</v>
      </c>
      <c r="L25" s="334">
        <f>IF(B25="","",LOOKUP(B25,'Cadastro de BC - Servidores'!$A$13:$A$130,'Cadastro de BC - Servidores'!$AC$13:$AC$130))</f>
        <v>0</v>
      </c>
      <c r="M25" s="334">
        <f>IF(C25="","",LOOKUP(B25,'Cadastro de BC - Servidores'!A29:A142,'Cadastro de BC - Servidores'!AD29:AD142))</f>
        <v>0</v>
      </c>
      <c r="N25" s="332">
        <f t="shared" si="0"/>
        <v>204.07749999999987</v>
      </c>
      <c r="O25" s="335"/>
      <c r="P25" s="331">
        <f t="shared" si="1"/>
        <v>538.02250000000004</v>
      </c>
      <c r="Q25" s="388">
        <f t="shared" si="3"/>
        <v>13</v>
      </c>
      <c r="R25" s="315"/>
      <c r="U25" s="514"/>
    </row>
    <row r="26" spans="1:21" s="25" customFormat="1" ht="12.75" customHeight="1" x14ac:dyDescent="0.2">
      <c r="A26" s="388">
        <f t="shared" si="2"/>
        <v>14</v>
      </c>
      <c r="B26" s="326">
        <v>63</v>
      </c>
      <c r="C26" s="327" t="str">
        <f>IF(B26="","",LOOKUP($B26,'Cadastro de BC - Servidores'!A28:B141))</f>
        <v>Ana Virgínia Dantas Figueiredo</v>
      </c>
      <c r="D26" s="328">
        <f>IF(B26="","",LOOKUP(B26,'Cadastro de BC - Servidores'!A26:A140,'Cadastro de BC - Servidores'!H26:H140))</f>
        <v>273727</v>
      </c>
      <c r="E26" s="329" t="str">
        <f>IF(B26="","",LOOKUP(B26,'Cadastro de BC - Servidores'!A26:A140,'Cadastro de BC - Servidores'!I26:I140))</f>
        <v>154.636.055-72</v>
      </c>
      <c r="F26" s="329" t="str">
        <f>IF(B26="","",LOOKUP(B26,'Cadastro de BC - Servidores'!A26:A140,'Cadastro de BC - Servidores'!J26:J140))</f>
        <v>047/029</v>
      </c>
      <c r="G26" s="328">
        <f>IF(B26="","",LOOKUP(B26,'Cadastro de BC - Servidores'!A26:A140,'Cadastro de BC - Servidores'!K26:K140))</f>
        <v>32663</v>
      </c>
      <c r="H26" s="330">
        <f>IF(B26="","",LOOKUP(B26,'Cadastro de BC - Servidores'!A26:A140,'Cadastro de BC - Servidores'!L26:L140))</f>
        <v>1.1000000000000001</v>
      </c>
      <c r="I26" s="331">
        <f>IF(B26="","",LOOKUP(B26,'Cadastro de BC - Servidores'!$A$13:$A$130,'Cadastro de BC - Servidores'!$O$13:$O$130))</f>
        <v>1991.0000000000002</v>
      </c>
      <c r="J26" s="332">
        <f>IF(B26="","",LOOKUP(B26,'Cadastro de BC - Servidores'!A26:A140,'Cadastro de BC - Servidores'!T26:T140))</f>
        <v>0</v>
      </c>
      <c r="K26" s="333">
        <f>IF(B26="","",LOOKUP(B26,'Cadastro de BC - Servidores'!$A$13:$A$130,'Cadastro de BC - Servidores'!$AB$13:$AB$130))</f>
        <v>547.52499999999964</v>
      </c>
      <c r="L26" s="334">
        <f>IF(B26="","",LOOKUP(B26,'Cadastro de BC - Servidores'!$A$13:$A$130,'Cadastro de BC - Servidores'!$AC$13:$AC$130))</f>
        <v>0</v>
      </c>
      <c r="M26" s="334">
        <f>IF(C26="","",LOOKUP(B26,'Cadastro de BC - Servidores'!A30:A143,'Cadastro de BC - Servidores'!AD30:AD143))</f>
        <v>0</v>
      </c>
      <c r="N26" s="332">
        <f t="shared" si="0"/>
        <v>547.52499999999964</v>
      </c>
      <c r="O26" s="335"/>
      <c r="P26" s="331">
        <f t="shared" si="1"/>
        <v>1443.4750000000006</v>
      </c>
      <c r="Q26" s="388">
        <f t="shared" si="3"/>
        <v>14</v>
      </c>
      <c r="R26" s="315"/>
      <c r="U26" s="514"/>
    </row>
    <row r="27" spans="1:21" s="25" customFormat="1" ht="12.75" customHeight="1" x14ac:dyDescent="0.2">
      <c r="A27" s="388">
        <f t="shared" si="2"/>
        <v>15</v>
      </c>
      <c r="B27" s="326">
        <v>64</v>
      </c>
      <c r="C27" s="327" t="str">
        <f>IF(B27="","",LOOKUP($B27,'Cadastro de BC - Servidores'!A29:B142))</f>
        <v xml:space="preserve">Izaura Augusta G. Mendonça </v>
      </c>
      <c r="D27" s="328" t="str">
        <f>IF(B27="","",LOOKUP(B27,'Cadastro de BC - Servidores'!A27:A141,'Cadastro de BC - Servidores'!H27:H141))</f>
        <v>300.439-2</v>
      </c>
      <c r="E27" s="329" t="str">
        <f>IF(B27="","",LOOKUP(B27,'Cadastro de BC - Servidores'!A27:A141,'Cadastro de BC - Servidores'!I27:I141))</f>
        <v>189.463.485-34</v>
      </c>
      <c r="F27" s="329" t="str">
        <f>IF(B27="","",LOOKUP(B27,'Cadastro de BC - Servidores'!A27:A141,'Cadastro de BC - Servidores'!J27:J141))</f>
        <v>047/029</v>
      </c>
      <c r="G27" s="328" t="str">
        <f>IF(B27="","",LOOKUP(B27,'Cadastro de BC - Servidores'!A27:A141,'Cadastro de BC - Servidores'!K27:K141))</f>
        <v>005384-9</v>
      </c>
      <c r="H27" s="330">
        <f>IF(B27="","",LOOKUP(B27,'Cadastro de BC - Servidores'!A27:A141,'Cadastro de BC - Servidores'!L27:L141))</f>
        <v>0.75</v>
      </c>
      <c r="I27" s="331">
        <f>IF(B27="","",LOOKUP(B27,'Cadastro de BC - Servidores'!$A$13:$A$130,'Cadastro de BC - Servidores'!$O$13:$O$130))</f>
        <v>1357.5</v>
      </c>
      <c r="J27" s="332">
        <f>IF(B27="","",LOOKUP(B27,'Cadastro de BC - Servidores'!A27:A141,'Cadastro de BC - Servidores'!T27:T141))</f>
        <v>0</v>
      </c>
      <c r="K27" s="333">
        <f>IF(B27="","",LOOKUP(B27,'Cadastro de BC - Servidores'!$A$13:$A$130,'Cadastro de BC - Servidores'!$AB$13:$AB$130))</f>
        <v>307.86500000000007</v>
      </c>
      <c r="L27" s="334">
        <f>IF(B27="","",LOOKUP(B27,'Cadastro de BC - Servidores'!$A$13:$A$130,'Cadastro de BC - Servidores'!$AC$13:$AC$130))</f>
        <v>0</v>
      </c>
      <c r="M27" s="334">
        <f>IF(C27="","",LOOKUP(B27,'Cadastro de BC - Servidores'!A31:A144,'Cadastro de BC - Servidores'!AD31:AD144))</f>
        <v>0</v>
      </c>
      <c r="N27" s="332">
        <f t="shared" si="0"/>
        <v>307.86500000000007</v>
      </c>
      <c r="O27" s="335"/>
      <c r="P27" s="331">
        <f t="shared" si="1"/>
        <v>1049.635</v>
      </c>
      <c r="Q27" s="388">
        <f t="shared" si="3"/>
        <v>15</v>
      </c>
      <c r="R27" s="315"/>
      <c r="U27" s="514"/>
    </row>
    <row r="28" spans="1:21" s="25" customFormat="1" ht="12.75" customHeight="1" x14ac:dyDescent="0.2">
      <c r="A28" s="388">
        <f t="shared" si="2"/>
        <v>16</v>
      </c>
      <c r="B28" s="326">
        <v>65</v>
      </c>
      <c r="C28" s="327" t="str">
        <f>IF(B28="","",LOOKUP($B28,'Cadastro de BC - Servidores'!A30:B143))</f>
        <v>Jadson Dias da Silva*</v>
      </c>
      <c r="D28" s="328" t="str">
        <f>IF(B28="","",LOOKUP(B28,'Cadastro de BC - Servidores'!A28:A142,'Cadastro de BC - Servidores'!H28:H142))</f>
        <v>767.029-0</v>
      </c>
      <c r="E28" s="329" t="str">
        <f>IF(B28="","",LOOKUP(B28,'Cadastro de BC - Servidores'!A28:A142,'Cadastro de BC - Servidores'!I28:I142))</f>
        <v>479.232.375-49</v>
      </c>
      <c r="F28" s="329" t="str">
        <f>IF(B28="","",LOOKUP(B28,'Cadastro de BC - Servidores'!A28:A142,'Cadastro de BC - Servidores'!J28:J142))</f>
        <v>047/029</v>
      </c>
      <c r="G28" s="328" t="str">
        <f>IF(B28="","",LOOKUP(B28,'Cadastro de BC - Servidores'!A28:A142,'Cadastro de BC - Servidores'!K28:K142))</f>
        <v>017369-0</v>
      </c>
      <c r="H28" s="330">
        <f>IF(B28="","",LOOKUP(B28,'Cadastro de BC - Servidores'!A28:A142,'Cadastro de BC - Servidores'!L28:L142))</f>
        <v>1.5</v>
      </c>
      <c r="I28" s="331">
        <f>IF(B28="","",LOOKUP(B28,'Cadastro de BC - Servidores'!$A$13:$A$130,'Cadastro de BC - Servidores'!$O$13:$O$130))</f>
        <v>2715</v>
      </c>
      <c r="J28" s="332">
        <f>IF(B28="","",LOOKUP(B28,'Cadastro de BC - Servidores'!A28:A142,'Cadastro de BC - Servidores'!T28:T142))</f>
        <v>0</v>
      </c>
      <c r="K28" s="333">
        <f>IF(B28="","",LOOKUP(B28,'Cadastro de BC - Servidores'!$A$13:$A$130,'Cadastro de BC - Servidores'!$AB$13:$AB$130))</f>
        <v>513.77500000000032</v>
      </c>
      <c r="L28" s="334">
        <f>IF(B28="","",LOOKUP(B28,'Cadastro de BC - Servidores'!$A$13:$A$130,'Cadastro de BC - Servidores'!$AC$13:$AC$130))</f>
        <v>330.18374999999992</v>
      </c>
      <c r="M28" s="334">
        <f>IF(C28="","",LOOKUP(B28,'Cadastro de BC - Servidores'!A32:A145,'Cadastro de BC - Servidores'!AD32:AD145))</f>
        <v>0</v>
      </c>
      <c r="N28" s="332">
        <f t="shared" si="0"/>
        <v>843.95875000000024</v>
      </c>
      <c r="O28" s="335"/>
      <c r="P28" s="331">
        <f t="shared" si="1"/>
        <v>1871.0412499999998</v>
      </c>
      <c r="Q28" s="388">
        <f t="shared" si="3"/>
        <v>16</v>
      </c>
      <c r="R28" s="315"/>
      <c r="U28" s="514"/>
    </row>
    <row r="29" spans="1:21" s="25" customFormat="1" ht="12.75" customHeight="1" x14ac:dyDescent="0.2">
      <c r="A29" s="388">
        <f t="shared" si="2"/>
        <v>17</v>
      </c>
      <c r="B29" s="326">
        <v>66</v>
      </c>
      <c r="C29" s="327" t="str">
        <f>IF(B29="","",LOOKUP($B29,'Cadastro de BC - Servidores'!A31:B144))</f>
        <v>Hilton Rubens Aragão Prado</v>
      </c>
      <c r="D29" s="328">
        <f>IF(B29="","",LOOKUP(B29,'Cadastro de BC - Servidores'!A29:A143,'Cadastro de BC - Servidores'!H29:H143))</f>
        <v>729065</v>
      </c>
      <c r="E29" s="329" t="str">
        <f>IF(B29="","",LOOKUP(B29,'Cadastro de BC - Servidores'!A29:A143,'Cadastro de BC - Servidores'!I29:I143))</f>
        <v>531.638.855-00</v>
      </c>
      <c r="F29" s="329" t="str">
        <f>IF(B29="","",LOOKUP(B29,'Cadastro de BC - Servidores'!A29:A143,'Cadastro de BC - Servidores'!J29:J143))</f>
        <v>047/034</v>
      </c>
      <c r="G29" s="328" t="str">
        <f>IF(B29="","",LOOKUP(B29,'Cadastro de BC - Servidores'!A29:A143,'Cadastro de BC - Servidores'!K29:K143))</f>
        <v>0016745-0</v>
      </c>
      <c r="H29" s="330">
        <f>IF(B29="","",LOOKUP(B29,'Cadastro de BC - Servidores'!A29:A143,'Cadastro de BC - Servidores'!L29:L143))</f>
        <v>0.41</v>
      </c>
      <c r="I29" s="331">
        <f>IF(B29="","",LOOKUP(B29,'Cadastro de BC - Servidores'!$A$13:$A$130,'Cadastro de BC - Servidores'!$O$13:$O$130))</f>
        <v>742.09999999999991</v>
      </c>
      <c r="J29" s="332">
        <f>IF(B29="","",LOOKUP(B29,'Cadastro de BC - Servidores'!A29:A143,'Cadastro de BC - Servidores'!T29:T143))</f>
        <v>0</v>
      </c>
      <c r="K29" s="333">
        <f>IF(B29="","",LOOKUP(B29,'Cadastro de BC - Servidores'!$A$13:$A$130,'Cadastro de BC - Servidores'!$AB$13:$AB$130))</f>
        <v>168.15050000000008</v>
      </c>
      <c r="L29" s="334">
        <f>IF(B29="","",LOOKUP(B29,'Cadastro de BC - Servidores'!$A$13:$A$130,'Cadastro de BC - Servidores'!$AC$13:$AC$130))</f>
        <v>0</v>
      </c>
      <c r="M29" s="334">
        <f>IF(C29="","",LOOKUP(B29,'Cadastro de BC - Servidores'!A33:A146,'Cadastro de BC - Servidores'!AD33:AD146))</f>
        <v>0</v>
      </c>
      <c r="N29" s="332">
        <f t="shared" si="0"/>
        <v>168.15050000000008</v>
      </c>
      <c r="O29" s="335"/>
      <c r="P29" s="331">
        <f t="shared" si="1"/>
        <v>573.94949999999983</v>
      </c>
      <c r="Q29" s="388">
        <f t="shared" si="3"/>
        <v>17</v>
      </c>
      <c r="R29" s="315"/>
      <c r="U29" s="514"/>
    </row>
    <row r="30" spans="1:21" s="25" customFormat="1" ht="12.75" customHeight="1" x14ac:dyDescent="0.2">
      <c r="A30" s="388">
        <f t="shared" si="2"/>
        <v>18</v>
      </c>
      <c r="B30" s="326">
        <v>67</v>
      </c>
      <c r="C30" s="327" t="str">
        <f>IF(B30="","",LOOKUP($B30,'Cadastro de BC - Servidores'!A32:B145))</f>
        <v>José Adebaldo N. de Andrade</v>
      </c>
      <c r="D30" s="328" t="str">
        <f>IF(B30="","",LOOKUP(B30,'Cadastro de BC - Servidores'!A30:A144,'Cadastro de BC - Servidores'!H30:H144))</f>
        <v>750.495-0</v>
      </c>
      <c r="E30" s="329" t="str">
        <f>IF(B30="","",LOOKUP(B30,'Cadastro de BC - Servidores'!A30:A144,'Cadastro de BC - Servidores'!I30:I144))</f>
        <v>311.992.595-00</v>
      </c>
      <c r="F30" s="329" t="str">
        <f>IF(B30="","",LOOKUP(B30,'Cadastro de BC - Servidores'!A30:A144,'Cadastro de BC - Servidores'!J30:J144))</f>
        <v>047/029</v>
      </c>
      <c r="G30" s="328" t="str">
        <f>IF(B30="","",LOOKUP(B30,'Cadastro de BC - Servidores'!A30:A144,'Cadastro de BC - Servidores'!K30:K144))</f>
        <v>002553-5</v>
      </c>
      <c r="H30" s="330">
        <f>IF(B30="","",LOOKUP(B30,'Cadastro de BC - Servidores'!A30:A144,'Cadastro de BC - Servidores'!L30:L144))</f>
        <v>1.5</v>
      </c>
      <c r="I30" s="331">
        <f>IF(B30="","",LOOKUP(B30,'Cadastro de BC - Servidores'!$A$13:$A$130,'Cadastro de BC - Servidores'!$O$13:$O$130))</f>
        <v>2715</v>
      </c>
      <c r="J30" s="332">
        <f>IF(B30="","",LOOKUP(B30,'Cadastro de BC - Servidores'!A30:A144,'Cadastro de BC - Servidores'!T30:T144))</f>
        <v>0</v>
      </c>
      <c r="K30" s="333">
        <f>IF(B30="","",LOOKUP(B30,'Cadastro de BC - Servidores'!$A$13:$A$130,'Cadastro de BC - Servidores'!$AB$13:$AB$130))</f>
        <v>741.73</v>
      </c>
      <c r="L30" s="334">
        <f>IF(B30="","",LOOKUP(B30,'Cadastro de BC - Servidores'!$A$13:$A$130,'Cadastro de BC - Servidores'!$AC$13:$AC$130))</f>
        <v>0</v>
      </c>
      <c r="M30" s="334">
        <f>IF(C30="","",LOOKUP(B30,'Cadastro de BC - Servidores'!A34:A147,'Cadastro de BC - Servidores'!AD34:AD147))</f>
        <v>0</v>
      </c>
      <c r="N30" s="332">
        <f t="shared" si="0"/>
        <v>741.73</v>
      </c>
      <c r="O30" s="335"/>
      <c r="P30" s="331">
        <f t="shared" si="1"/>
        <v>1973.27</v>
      </c>
      <c r="Q30" s="388">
        <f t="shared" si="3"/>
        <v>18</v>
      </c>
      <c r="R30" s="315"/>
      <c r="U30" s="514"/>
    </row>
    <row r="31" spans="1:21" s="25" customFormat="1" ht="12.75" customHeight="1" x14ac:dyDescent="0.2">
      <c r="A31" s="388">
        <f t="shared" si="2"/>
        <v>19</v>
      </c>
      <c r="B31" s="326">
        <v>68</v>
      </c>
      <c r="C31" s="327" t="str">
        <f>IF(B31="","",LOOKUP($B31,'Cadastro de BC - Servidores'!A33:B146))</f>
        <v>José Carlos Bezerra Brás</v>
      </c>
      <c r="D31" s="328" t="str">
        <f>IF(B31="","",LOOKUP(B31,'Cadastro de BC - Servidores'!A31:A145,'Cadastro de BC - Servidores'!H31:H145))</f>
        <v>325.044-0</v>
      </c>
      <c r="E31" s="329" t="str">
        <f>IF(B31="","",LOOKUP(B31,'Cadastro de BC - Servidores'!A31:A145,'Cadastro de BC - Servidores'!I31:I145))</f>
        <v>138.119.405-20</v>
      </c>
      <c r="F31" s="329" t="str">
        <f>IF(B31="","",LOOKUP(B31,'Cadastro de BC - Servidores'!A31:A145,'Cadastro de BC - Servidores'!J31:J145))</f>
        <v>047/029</v>
      </c>
      <c r="G31" s="328" t="str">
        <f>IF(B31="","",LOOKUP(B31,'Cadastro de BC - Servidores'!A31:A145,'Cadastro de BC - Servidores'!K31:K145))</f>
        <v>012375-8</v>
      </c>
      <c r="H31" s="330">
        <f>IF(B31="","",LOOKUP(B31,'Cadastro de BC - Servidores'!A31:A145,'Cadastro de BC - Servidores'!L31:L145))</f>
        <v>0.8</v>
      </c>
      <c r="I31" s="331">
        <f>IF(B31="","",LOOKUP(B31,'Cadastro de BC - Servidores'!$A$13:$A$130,'Cadastro de BC - Servidores'!$O$13:$O$130))</f>
        <v>1448</v>
      </c>
      <c r="J31" s="332">
        <f>IF(B31="","",LOOKUP(B31,'Cadastro de BC - Servidores'!A31:A145,'Cadastro de BC - Servidores'!T31:T145))</f>
        <v>0</v>
      </c>
      <c r="K31" s="333">
        <f>IF(B31="","",LOOKUP(B31,'Cadastro de BC - Servidores'!$A$13:$A$130,'Cadastro de BC - Servidores'!$AB$13:$AB$130))</f>
        <v>294.03750000000008</v>
      </c>
      <c r="L31" s="334">
        <f>IF(B31="","",LOOKUP(B31,'Cadastro de BC - Servidores'!$A$13:$A$130,'Cadastro de BC - Servidores'!$AC$13:$AC$130))</f>
        <v>0</v>
      </c>
      <c r="M31" s="334">
        <f>IF(C31="","",LOOKUP(B31,'Cadastro de BC - Servidores'!A35:A148,'Cadastro de BC - Servidores'!AD35:AD148))</f>
        <v>0</v>
      </c>
      <c r="N31" s="332">
        <f t="shared" si="0"/>
        <v>294.03750000000008</v>
      </c>
      <c r="O31" s="335"/>
      <c r="P31" s="331">
        <f t="shared" si="1"/>
        <v>1153.9624999999999</v>
      </c>
      <c r="Q31" s="388">
        <f t="shared" si="3"/>
        <v>19</v>
      </c>
      <c r="R31" s="315"/>
      <c r="U31" s="514"/>
    </row>
    <row r="32" spans="1:21" s="25" customFormat="1" ht="12.75" customHeight="1" x14ac:dyDescent="0.2">
      <c r="A32" s="388">
        <f t="shared" si="2"/>
        <v>20</v>
      </c>
      <c r="B32" s="326">
        <v>69</v>
      </c>
      <c r="C32" s="327" t="str">
        <f>IF(B32="","",LOOKUP($B32,'Cadastro de BC - Servidores'!A34:B147))</f>
        <v>José Euzébio F. dos Santos</v>
      </c>
      <c r="D32" s="328" t="str">
        <f>IF(B32="","",LOOKUP(B32,'Cadastro de BC - Servidores'!A32:A146,'Cadastro de BC - Servidores'!H32:H146))</f>
        <v>525.529-5</v>
      </c>
      <c r="E32" s="329" t="str">
        <f>IF(B32="","",LOOKUP(B32,'Cadastro de BC - Servidores'!A32:A146,'Cadastro de BC - Servidores'!I32:I146))</f>
        <v>276.368.015-15</v>
      </c>
      <c r="F32" s="329" t="str">
        <f>IF(B32="","",LOOKUP(B32,'Cadastro de BC - Servidores'!A32:A146,'Cadastro de BC - Servidores'!J32:J146))</f>
        <v>047/029</v>
      </c>
      <c r="G32" s="328" t="str">
        <f>IF(B32="","",LOOKUP(B32,'Cadastro de BC - Servidores'!A32:A146,'Cadastro de BC - Servidores'!K32:K146))</f>
        <v>017316-0</v>
      </c>
      <c r="H32" s="330">
        <f>IF(B32="","",LOOKUP(B32,'Cadastro de BC - Servidores'!A32:A146,'Cadastro de BC - Servidores'!L32:L146))</f>
        <v>1.5</v>
      </c>
      <c r="I32" s="331">
        <f>IF(B32="","",LOOKUP(B32,'Cadastro de BC - Servidores'!$A$13:$A$130,'Cadastro de BC - Servidores'!$O$13:$O$130))</f>
        <v>2715</v>
      </c>
      <c r="J32" s="332">
        <f>IF(B32="","",LOOKUP(B32,'Cadastro de BC - Servidores'!A32:A146,'Cadastro de BC - Servidores'!T32:T146))</f>
        <v>0</v>
      </c>
      <c r="K32" s="333">
        <f>IF(B32="","",LOOKUP(B32,'Cadastro de BC - Servidores'!$A$13:$A$130,'Cadastro de BC - Servidores'!$AB$13:$AB$130))</f>
        <v>669.85000000000036</v>
      </c>
      <c r="L32" s="334">
        <f>IF(B32="","",LOOKUP(B32,'Cadastro de BC - Servidores'!$A$13:$A$130,'Cadastro de BC - Servidores'!$AC$13:$AC$130))</f>
        <v>0</v>
      </c>
      <c r="M32" s="334">
        <f>IF(C32="","",LOOKUP(B32,'Cadastro de BC - Servidores'!A36:A149,'Cadastro de BC - Servidores'!AD36:AD149))</f>
        <v>0</v>
      </c>
      <c r="N32" s="332">
        <f t="shared" si="0"/>
        <v>669.85000000000036</v>
      </c>
      <c r="O32" s="335"/>
      <c r="P32" s="331">
        <f t="shared" si="1"/>
        <v>2045.1499999999996</v>
      </c>
      <c r="Q32" s="388">
        <f t="shared" si="3"/>
        <v>20</v>
      </c>
      <c r="R32" s="315"/>
      <c r="U32" s="514"/>
    </row>
    <row r="33" spans="1:21" s="25" customFormat="1" ht="12.75" customHeight="1" x14ac:dyDescent="0.2">
      <c r="A33" s="388">
        <f t="shared" si="2"/>
        <v>21</v>
      </c>
      <c r="B33" s="326">
        <v>70</v>
      </c>
      <c r="C33" s="327" t="str">
        <f>IF(B33="","",LOOKUP($B33,'Cadastro de BC - Servidores'!A35:B148))</f>
        <v>José Luiz dos Santos Ramos</v>
      </c>
      <c r="D33" s="328" t="str">
        <f>IF(B33="","",LOOKUP(B33,'Cadastro de BC - Servidores'!A33:A147,'Cadastro de BC - Servidores'!H33:H147))</f>
        <v>388.214-4</v>
      </c>
      <c r="E33" s="329" t="str">
        <f>IF(B33="","",LOOKUP(B33,'Cadastro de BC - Servidores'!A33:A147,'Cadastro de BC - Servidores'!I33:I147))</f>
        <v>375.588.975-72</v>
      </c>
      <c r="F33" s="329" t="str">
        <f>IF(B33="","",LOOKUP(B33,'Cadastro de BC - Servidores'!A33:A147,'Cadastro de BC - Servidores'!J33:J147))</f>
        <v>047/029</v>
      </c>
      <c r="G33" s="328" t="str">
        <f>IF(B33="","",LOOKUP(B33,'Cadastro de BC - Servidores'!A33:A147,'Cadastro de BC - Servidores'!K33:K147))</f>
        <v>012378-2</v>
      </c>
      <c r="H33" s="330">
        <f>IF(B33="","",LOOKUP(B33,'Cadastro de BC - Servidores'!A33:A147,'Cadastro de BC - Servidores'!L33:L147))</f>
        <v>1</v>
      </c>
      <c r="I33" s="331">
        <f>IF(B33="","",LOOKUP(B33,'Cadastro de BC - Servidores'!$A$13:$A$130,'Cadastro de BC - Servidores'!$O$13:$O$130))</f>
        <v>1810</v>
      </c>
      <c r="J33" s="332">
        <f>IF(B33="","",LOOKUP(B33,'Cadastro de BC - Servidores'!A33:A147,'Cadastro de BC - Servidores'!T33:T147))</f>
        <v>0</v>
      </c>
      <c r="K33" s="333">
        <f>IF(B33="","",LOOKUP(B33,'Cadastro de BC - Servidores'!$A$13:$A$130,'Cadastro de BC - Servidores'!$AB$13:$AB$130))</f>
        <v>460.24550000000011</v>
      </c>
      <c r="L33" s="334">
        <f>IF(B33="","",LOOKUP(B33,'Cadastro de BC - Servidores'!$A$13:$A$130,'Cadastro de BC - Servidores'!$AC$13:$AC$130))</f>
        <v>0</v>
      </c>
      <c r="M33" s="334">
        <f>IF(C33="","",LOOKUP(B33,'Cadastro de BC - Servidores'!A37:A150,'Cadastro de BC - Servidores'!AD37:AD150))</f>
        <v>0</v>
      </c>
      <c r="N33" s="332">
        <f t="shared" si="0"/>
        <v>460.24550000000011</v>
      </c>
      <c r="O33" s="335"/>
      <c r="P33" s="331">
        <f t="shared" si="1"/>
        <v>1349.7545</v>
      </c>
      <c r="Q33" s="388">
        <f t="shared" si="3"/>
        <v>21</v>
      </c>
      <c r="R33" s="315"/>
      <c r="U33" s="514"/>
    </row>
    <row r="34" spans="1:21" s="25" customFormat="1" ht="12.75" customHeight="1" x14ac:dyDescent="0.2">
      <c r="A34" s="388">
        <f t="shared" si="2"/>
        <v>22</v>
      </c>
      <c r="B34" s="326">
        <v>71</v>
      </c>
      <c r="C34" s="327" t="str">
        <f>IF(B34="","",LOOKUP($B34,'Cadastro de BC - Servidores'!A36:B149))</f>
        <v>José Ramos Figueiredo Filho</v>
      </c>
      <c r="D34" s="328" t="str">
        <f>IF(B34="","",LOOKUP(B34,'Cadastro de BC - Servidores'!A34:A148,'Cadastro de BC - Servidores'!H34:H148))</f>
        <v>733.684-5</v>
      </c>
      <c r="E34" s="329" t="str">
        <f>IF(B34="","",LOOKUP(B34,'Cadastro de BC - Servidores'!A34:A148,'Cadastro de BC - Servidores'!I34:I148))</f>
        <v>358.427.095-20</v>
      </c>
      <c r="F34" s="329" t="str">
        <f>IF(B34="","",LOOKUP(B34,'Cadastro de BC - Servidores'!A34:A148,'Cadastro de BC - Servidores'!J34:J148))</f>
        <v>047/029</v>
      </c>
      <c r="G34" s="328" t="str">
        <f>IF(B34="","",LOOKUP(B34,'Cadastro de BC - Servidores'!A34:A148,'Cadastro de BC - Servidores'!K34:K148))</f>
        <v>004254-5</v>
      </c>
      <c r="H34" s="330">
        <f>IF(B34="","",LOOKUP(B34,'Cadastro de BC - Servidores'!A34:A148,'Cadastro de BC - Servidores'!L34:L148))</f>
        <v>1.5</v>
      </c>
      <c r="I34" s="331">
        <f>IF(B34="","",LOOKUP(B34,'Cadastro de BC - Servidores'!$A$13:$A$130,'Cadastro de BC - Servidores'!$O$13:$O$130))</f>
        <v>2715</v>
      </c>
      <c r="J34" s="332">
        <f>IF(B34="","",LOOKUP(B34,'Cadastro de BC - Servidores'!A34:A148,'Cadastro de BC - Servidores'!T34:T148))</f>
        <v>0</v>
      </c>
      <c r="K34" s="333">
        <f>IF(B34="","",LOOKUP(B34,'Cadastro de BC - Servidores'!$A$13:$A$130,'Cadastro de BC - Servidores'!$AB$13:$AB$130))</f>
        <v>741.73</v>
      </c>
      <c r="L34" s="334">
        <f>IF(B34="","",LOOKUP(B34,'Cadastro de BC - Servidores'!$A$13:$A$130,'Cadastro de BC - Servidores'!$AC$13:$AC$130))</f>
        <v>0</v>
      </c>
      <c r="M34" s="334">
        <f>IF(C34="","",LOOKUP(B34,'Cadastro de BC - Servidores'!A38:A151,'Cadastro de BC - Servidores'!AD38:AD151))</f>
        <v>0</v>
      </c>
      <c r="N34" s="332">
        <f t="shared" si="0"/>
        <v>741.73</v>
      </c>
      <c r="O34" s="335"/>
      <c r="P34" s="331">
        <f t="shared" si="1"/>
        <v>1973.27</v>
      </c>
      <c r="Q34" s="388">
        <f t="shared" si="3"/>
        <v>22</v>
      </c>
      <c r="R34" s="315"/>
      <c r="U34" s="514"/>
    </row>
    <row r="35" spans="1:21" s="25" customFormat="1" ht="12.75" customHeight="1" x14ac:dyDescent="0.2">
      <c r="A35" s="388">
        <f t="shared" si="2"/>
        <v>23</v>
      </c>
      <c r="B35" s="326">
        <v>73</v>
      </c>
      <c r="C35" s="327" t="str">
        <f>IF(B35="","",LOOKUP($B35,'Cadastro de BC - Servidores'!A38:B151))</f>
        <v xml:space="preserve">Luiz Alberto Passos Santos </v>
      </c>
      <c r="D35" s="328" t="str">
        <f>IF(B35="","",LOOKUP(B35,'Cadastro de BC - Servidores'!A36:A150,'Cadastro de BC - Servidores'!H36:H150))</f>
        <v>342.098-1</v>
      </c>
      <c r="E35" s="329" t="str">
        <f>IF(B35="","",LOOKUP(B35,'Cadastro de BC - Servidores'!A36:A150,'Cadastro de BC - Servidores'!I36:I150))</f>
        <v>138.750.865-20</v>
      </c>
      <c r="F35" s="329" t="str">
        <f>IF(B35="","",LOOKUP(B35,'Cadastro de BC - Servidores'!A36:A150,'Cadastro de BC - Servidores'!J36:J150))</f>
        <v>047/029</v>
      </c>
      <c r="G35" s="328" t="str">
        <f>IF(B35="","",LOOKUP(B35,'Cadastro de BC - Servidores'!A36:A150,'Cadastro de BC - Servidores'!K36:K150))</f>
        <v>000098-2</v>
      </c>
      <c r="H35" s="330">
        <f>IF(B35="","",LOOKUP(B35,'Cadastro de BC - Servidores'!A36:A150,'Cadastro de BC - Servidores'!L36:L150))</f>
        <v>1.2</v>
      </c>
      <c r="I35" s="331">
        <f>IF(B35="","",LOOKUP(B35,'Cadastro de BC - Servidores'!$A$13:$A$130,'Cadastro de BC - Servidores'!$O$13:$O$130))</f>
        <v>2172</v>
      </c>
      <c r="J35" s="332">
        <f>IF(B35="","",LOOKUP(B35,'Cadastro de BC - Servidores'!A36:A150,'Cadastro de BC - Servidores'!T36:T150))</f>
        <v>0</v>
      </c>
      <c r="K35" s="333">
        <f>IF(B35="","",LOOKUP(B35,'Cadastro de BC - Servidores'!$A$13:$A$130,'Cadastro de BC - Servidores'!$AB$13:$AB$130))</f>
        <v>275.44550000000004</v>
      </c>
      <c r="L35" s="334">
        <f>IF(B35="","",LOOKUP(B35,'Cadastro de BC - Servidores'!$A$13:$A$130,'Cadastro de BC - Servidores'!$AC$13:$AC$130))</f>
        <v>0</v>
      </c>
      <c r="M35" s="334">
        <f>IF(C35="","",LOOKUP(B35,'Cadastro de BC - Servidores'!A40:A153,'Cadastro de BC - Servidores'!AD40:AD153))</f>
        <v>0</v>
      </c>
      <c r="N35" s="332">
        <f t="shared" si="0"/>
        <v>275.44550000000004</v>
      </c>
      <c r="O35" s="335"/>
      <c r="P35" s="331">
        <f t="shared" si="1"/>
        <v>1896.5545</v>
      </c>
      <c r="Q35" s="388">
        <f t="shared" si="3"/>
        <v>23</v>
      </c>
      <c r="R35" s="315"/>
      <c r="U35" s="514"/>
    </row>
    <row r="36" spans="1:21" s="25" customFormat="1" ht="12.75" customHeight="1" x14ac:dyDescent="0.2">
      <c r="A36" s="388">
        <f t="shared" si="2"/>
        <v>24</v>
      </c>
      <c r="B36" s="326">
        <v>75</v>
      </c>
      <c r="C36" s="327" t="str">
        <f>IF(B36="","",LOOKUP($B36,'Cadastro de BC - Servidores'!A40:B153))</f>
        <v>Maria Inêz de Almeida Machado</v>
      </c>
      <c r="D36" s="328" t="str">
        <f>IF(B36="","",LOOKUP(B36,'Cadastro de BC - Servidores'!A37:A151,'Cadastro de BC - Servidores'!H37:H151))</f>
        <v>576.481-5</v>
      </c>
      <c r="E36" s="329" t="str">
        <f>IF(B36="","",LOOKUP(B36,'Cadastro de BC - Servidores'!A37:A151,'Cadastro de BC - Servidores'!I37:I151))</f>
        <v>393.993.975-72</v>
      </c>
      <c r="F36" s="329" t="str">
        <f>IF(B36="","",LOOKUP(B36,'Cadastro de BC - Servidores'!A37:A151,'Cadastro de BC - Servidores'!J37:J151))</f>
        <v>047/029</v>
      </c>
      <c r="G36" s="328" t="str">
        <f>IF(B36="","",LOOKUP(B36,'Cadastro de BC - Servidores'!A37:A151,'Cadastro de BC - Servidores'!K37:K151))</f>
        <v>005843-3</v>
      </c>
      <c r="H36" s="330">
        <f>IF(B36="","",LOOKUP(B36,'Cadastro de BC - Servidores'!A37:A151,'Cadastro de BC - Servidores'!L37:L151))</f>
        <v>2.15</v>
      </c>
      <c r="I36" s="331">
        <f>IF(B36="","",LOOKUP(B36,'Cadastro de BC - Servidores'!$A$13:$A$130,'Cadastro de BC - Servidores'!$O$13:$O$130))</f>
        <v>3891.4999999999995</v>
      </c>
      <c r="J36" s="332">
        <f>IF(B36="","",LOOKUP(B36,'Cadastro de BC - Servidores'!A37:A151,'Cadastro de BC - Servidores'!T37:T151))</f>
        <v>0</v>
      </c>
      <c r="K36" s="333">
        <f>IF(B36="","",LOOKUP(B36,'Cadastro de BC - Servidores'!$A$13:$A$130,'Cadastro de BC - Servidores'!$AB$13:$AB$130))</f>
        <v>1070.1624999999999</v>
      </c>
      <c r="L36" s="334">
        <f>IF(B36="","",LOOKUP(B36,'Cadastro de BC - Servidores'!$A$13:$A$130,'Cadastro de BC - Servidores'!$AC$13:$AC$130))</f>
        <v>0</v>
      </c>
      <c r="M36" s="334">
        <f>IF(C36="","",LOOKUP(B36,'Cadastro de BC - Servidores'!A42:A155,'Cadastro de BC - Servidores'!AD42:AD155))</f>
        <v>0</v>
      </c>
      <c r="N36" s="332">
        <f t="shared" si="0"/>
        <v>1070.1624999999999</v>
      </c>
      <c r="O36" s="335"/>
      <c r="P36" s="331">
        <f t="shared" si="1"/>
        <v>2821.3374999999996</v>
      </c>
      <c r="Q36" s="388">
        <f t="shared" si="3"/>
        <v>24</v>
      </c>
      <c r="R36" s="315"/>
      <c r="U36" s="514"/>
    </row>
    <row r="37" spans="1:21" s="25" customFormat="1" ht="12.75" customHeight="1" x14ac:dyDescent="0.2">
      <c r="A37" s="388">
        <f t="shared" si="2"/>
        <v>25</v>
      </c>
      <c r="B37" s="326">
        <v>76</v>
      </c>
      <c r="C37" s="327" t="str">
        <f>IF(B37="","",LOOKUP($B37,'Cadastro de BC - Servidores'!A41:B154))</f>
        <v>Maria Jucileide S. F. Almeida</v>
      </c>
      <c r="D37" s="328" t="str">
        <f>IF(B37="","",LOOKUP(B37,'Cadastro de BC - Servidores'!A38:A152,'Cadastro de BC - Servidores'!H38:H152))</f>
        <v>505.411-7</v>
      </c>
      <c r="E37" s="329" t="str">
        <f>IF(B37="","",LOOKUP(B37,'Cadastro de BC - Servidores'!A38:A152,'Cadastro de BC - Servidores'!I38:I152))</f>
        <v>382.233.415-49</v>
      </c>
      <c r="F37" s="329" t="str">
        <f>IF(B37="","",LOOKUP(B37,'Cadastro de BC - Servidores'!A38:A152,'Cadastro de BC - Servidores'!J38:J152))</f>
        <v>047/015</v>
      </c>
      <c r="G37" s="328" t="str">
        <f>IF(B37="","",LOOKUP(B37,'Cadastro de BC - Servidores'!A38:A152,'Cadastro de BC - Servidores'!K38:K152))</f>
        <v>018249-5</v>
      </c>
      <c r="H37" s="330">
        <f>IF(B37="","",LOOKUP(B37,'Cadastro de BC - Servidores'!A38:A152,'Cadastro de BC - Servidores'!L38:L152))</f>
        <v>1.5</v>
      </c>
      <c r="I37" s="331">
        <f>IF(B37="","",LOOKUP(B37,'Cadastro de BC - Servidores'!$A$13:$A$130,'Cadastro de BC - Servidores'!$O$13:$O$130))</f>
        <v>2715</v>
      </c>
      <c r="J37" s="332">
        <f>IF(B37="","",LOOKUP(B37,'Cadastro de BC - Servidores'!A38:A152,'Cadastro de BC - Servidores'!T38:T152))</f>
        <v>0</v>
      </c>
      <c r="K37" s="333">
        <f>IF(B37="","",LOOKUP(B37,'Cadastro de BC - Servidores'!$A$13:$A$130,'Cadastro de BC - Servidores'!$AB$13:$AB$130))</f>
        <v>732.64700000000005</v>
      </c>
      <c r="L37" s="334">
        <f>IF(B37="","",LOOKUP(B37,'Cadastro de BC - Servidores'!$A$13:$A$130,'Cadastro de BC - Servidores'!$AC$13:$AC$130))</f>
        <v>0</v>
      </c>
      <c r="M37" s="334">
        <f>IF(C37="","",LOOKUP(B37,'Cadastro de BC - Servidores'!A43:A156,'Cadastro de BC - Servidores'!AD43:AD156))</f>
        <v>0</v>
      </c>
      <c r="N37" s="332">
        <f t="shared" si="0"/>
        <v>732.64700000000005</v>
      </c>
      <c r="O37" s="335"/>
      <c r="P37" s="331">
        <f t="shared" si="1"/>
        <v>1982.3530000000001</v>
      </c>
      <c r="Q37" s="388">
        <f t="shared" si="3"/>
        <v>25</v>
      </c>
      <c r="R37" s="315"/>
      <c r="U37" s="514"/>
    </row>
    <row r="38" spans="1:21" s="25" customFormat="1" ht="12.75" customHeight="1" x14ac:dyDescent="0.2">
      <c r="A38" s="388">
        <f t="shared" si="2"/>
        <v>26</v>
      </c>
      <c r="B38" s="326">
        <v>77</v>
      </c>
      <c r="C38" s="327" t="str">
        <f>IF(B38="","",LOOKUP($B38,'Cadastro de BC - Servidores'!A42:B155))</f>
        <v>Maria Lenalda Alves S. Azevedo</v>
      </c>
      <c r="D38" s="328" t="str">
        <f>IF(B38="","",LOOKUP(B38,'Cadastro de BC - Servidores'!A39:A153,'Cadastro de BC - Servidores'!H39:H153))</f>
        <v>538.714-0</v>
      </c>
      <c r="E38" s="329" t="str">
        <f>IF(B38="","",LOOKUP(B38,'Cadastro de BC - Servidores'!A39:A153,'Cadastro de BC - Servidores'!I39:I153))</f>
        <v>151.072.215-72</v>
      </c>
      <c r="F38" s="329" t="str">
        <f>IF(B38="","",LOOKUP(B38,'Cadastro de BC - Servidores'!A39:A153,'Cadastro de BC - Servidores'!J39:J153))</f>
        <v>047/028</v>
      </c>
      <c r="G38" s="328" t="str">
        <f>IF(B38="","",LOOKUP(B38,'Cadastro de BC - Servidores'!A39:A153,'Cadastro de BC - Servidores'!K39:K153))</f>
        <v>004661-5</v>
      </c>
      <c r="H38" s="330">
        <f>IF(B38="","",LOOKUP(B38,'Cadastro de BC - Servidores'!A39:A153,'Cadastro de BC - Servidores'!L39:L153))</f>
        <v>0.95</v>
      </c>
      <c r="I38" s="331">
        <f>IF(B38="","",LOOKUP(B38,'Cadastro de BC - Servidores'!$A$13:$A$130,'Cadastro de BC - Servidores'!$O$13:$O$130))</f>
        <v>1719.5</v>
      </c>
      <c r="J38" s="332">
        <f>IF(B38="","",LOOKUP(B38,'Cadastro de BC - Servidores'!A39:A153,'Cadastro de BC - Servidores'!T39:T153))</f>
        <v>0</v>
      </c>
      <c r="K38" s="333">
        <f>IF(B38="","",LOOKUP(B38,'Cadastro de BC - Servidores'!$A$13:$A$130,'Cadastro de BC - Servidores'!$AB$13:$AB$130))</f>
        <v>433.77549999999997</v>
      </c>
      <c r="L38" s="334">
        <f>IF(B38="","",LOOKUP(B38,'Cadastro de BC - Servidores'!$A$13:$A$130,'Cadastro de BC - Servidores'!$AC$13:$AC$130))</f>
        <v>0</v>
      </c>
      <c r="M38" s="334">
        <f>IF(C38="","",LOOKUP(B38,'Cadastro de BC - Servidores'!A44:A157,'Cadastro de BC - Servidores'!AD44:AD157))</f>
        <v>0</v>
      </c>
      <c r="N38" s="332">
        <f t="shared" si="0"/>
        <v>433.77549999999997</v>
      </c>
      <c r="O38" s="335"/>
      <c r="P38" s="331">
        <f t="shared" si="1"/>
        <v>1285.7245</v>
      </c>
      <c r="Q38" s="388">
        <f t="shared" si="3"/>
        <v>26</v>
      </c>
      <c r="R38" s="315"/>
      <c r="U38" s="514"/>
    </row>
    <row r="39" spans="1:21" s="25" customFormat="1" ht="12.75" customHeight="1" x14ac:dyDescent="0.2">
      <c r="A39" s="388">
        <f t="shared" si="2"/>
        <v>27</v>
      </c>
      <c r="B39" s="326">
        <v>78</v>
      </c>
      <c r="C39" s="327" t="str">
        <f>IF(B39="","",LOOKUP($B39,'Cadastro de BC - Servidores'!A43:B156))</f>
        <v>Maria Lucia dos Santos Ferreira</v>
      </c>
      <c r="D39" s="328">
        <f>IF(B39="","",LOOKUP(B39,'Cadastro de BC - Servidores'!A40:A154,'Cadastro de BC - Servidores'!H40:H154))</f>
        <v>611836</v>
      </c>
      <c r="E39" s="329" t="str">
        <f>IF(B39="","",LOOKUP(B39,'Cadastro de BC - Servidores'!A40:A154,'Cadastro de BC - Servidores'!I40:I154))</f>
        <v>265.146.995-53</v>
      </c>
      <c r="F39" s="329" t="str">
        <f>IF(B39="","",LOOKUP(B39,'Cadastro de BC - Servidores'!A40:A154,'Cadastro de BC - Servidores'!J40:J154))</f>
        <v>047/029</v>
      </c>
      <c r="G39" s="328" t="str">
        <f>IF(B39="","",LOOKUP(B39,'Cadastro de BC - Servidores'!A40:A154,'Cadastro de BC - Servidores'!K40:K154))</f>
        <v>002496-2</v>
      </c>
      <c r="H39" s="330">
        <f>IF(B39="","",LOOKUP(B39,'Cadastro de BC - Servidores'!A40:A154,'Cadastro de BC - Servidores'!L40:L154))</f>
        <v>0.41</v>
      </c>
      <c r="I39" s="331">
        <f>IF(B39="","",LOOKUP(B39,'Cadastro de BC - Servidores'!$A$13:$A$130,'Cadastro de BC - Servidores'!$O$13:$O$130))</f>
        <v>742.09999999999991</v>
      </c>
      <c r="J39" s="332">
        <f>IF(B39="","",LOOKUP(B39,'Cadastro de BC - Servidores'!A40:A154,'Cadastro de BC - Servidores'!T40:T154))</f>
        <v>0</v>
      </c>
      <c r="K39" s="333">
        <f>IF(B39="","",LOOKUP(B39,'Cadastro de BC - Servidores'!$A$13:$A$130,'Cadastro de BC - Servidores'!$AB$13:$AB$130))</f>
        <v>204.07749999999987</v>
      </c>
      <c r="L39" s="334">
        <f>IF(B39="","",LOOKUP(B39,'Cadastro de BC - Servidores'!$A$13:$A$130,'Cadastro de BC - Servidores'!$AC$13:$AC$130))</f>
        <v>0</v>
      </c>
      <c r="M39" s="334">
        <f>IF(C39="","",LOOKUP(B39,'Cadastro de BC - Servidores'!A45:A158,'Cadastro de BC - Servidores'!AD45:AD158))</f>
        <v>0</v>
      </c>
      <c r="N39" s="332">
        <f t="shared" si="0"/>
        <v>204.07749999999987</v>
      </c>
      <c r="O39" s="335"/>
      <c r="P39" s="331">
        <f t="shared" si="1"/>
        <v>538.02250000000004</v>
      </c>
      <c r="Q39" s="388">
        <f t="shared" si="3"/>
        <v>27</v>
      </c>
      <c r="R39" s="315"/>
      <c r="U39" s="514"/>
    </row>
    <row r="40" spans="1:21" s="25" customFormat="1" ht="12.75" customHeight="1" x14ac:dyDescent="0.2">
      <c r="A40" s="388">
        <f t="shared" si="2"/>
        <v>28</v>
      </c>
      <c r="B40" s="326">
        <v>79</v>
      </c>
      <c r="C40" s="327" t="str">
        <f>IF(B40="","",LOOKUP($B40,'Cadastro de BC - Servidores'!A44:B157))</f>
        <v xml:space="preserve">Maria Marta dos Santos </v>
      </c>
      <c r="D40" s="328" t="str">
        <f>IF(B40="","",LOOKUP(B40,'Cadastro de BC - Servidores'!A41:A155,'Cadastro de BC - Servidores'!H41:H155))</f>
        <v>526.131-7</v>
      </c>
      <c r="E40" s="329" t="str">
        <f>IF(B40="","",LOOKUP(B40,'Cadastro de BC - Servidores'!A41:A155,'Cadastro de BC - Servidores'!I41:I155))</f>
        <v>265.505.045-20</v>
      </c>
      <c r="F40" s="329" t="str">
        <f>IF(B40="","",LOOKUP(B40,'Cadastro de BC - Servidores'!A41:A155,'Cadastro de BC - Servidores'!J41:J155))</f>
        <v>047/029</v>
      </c>
      <c r="G40" s="328" t="str">
        <f>IF(B40="","",LOOKUP(B40,'Cadastro de BC - Servidores'!A41:A155,'Cadastro de BC - Servidores'!K41:K155))</f>
        <v>003385-6</v>
      </c>
      <c r="H40" s="330">
        <f>IF(B40="","",LOOKUP(B40,'Cadastro de BC - Servidores'!A41:A155,'Cadastro de BC - Servidores'!L41:L155))</f>
        <v>1.5</v>
      </c>
      <c r="I40" s="331">
        <f>IF(B40="","",LOOKUP(B40,'Cadastro de BC - Servidores'!$A$13:$A$130,'Cadastro de BC - Servidores'!$O$13:$O$130))</f>
        <v>2715</v>
      </c>
      <c r="J40" s="332">
        <f>IF(B40="","",LOOKUP(B40,'Cadastro de BC - Servidores'!A41:A155,'Cadastro de BC - Servidores'!T41:T155))</f>
        <v>0</v>
      </c>
      <c r="K40" s="333">
        <f>IF(B40="","",LOOKUP(B40,'Cadastro de BC - Servidores'!$A$13:$A$130,'Cadastro de BC - Servidores'!$AB$13:$AB$130))</f>
        <v>734.73850000000004</v>
      </c>
      <c r="L40" s="334">
        <f>IF(B40="","",LOOKUP(B40,'Cadastro de BC - Servidores'!$A$13:$A$130,'Cadastro de BC - Servidores'!$AC$13:$AC$130))</f>
        <v>0</v>
      </c>
      <c r="M40" s="334">
        <f>IF(C40="","",LOOKUP(B40,'Cadastro de BC - Servidores'!A46:A159,'Cadastro de BC - Servidores'!AD46:AD159))</f>
        <v>0</v>
      </c>
      <c r="N40" s="332">
        <f t="shared" si="0"/>
        <v>734.73850000000004</v>
      </c>
      <c r="O40" s="335"/>
      <c r="P40" s="331">
        <f t="shared" si="1"/>
        <v>1980.2615000000001</v>
      </c>
      <c r="Q40" s="388">
        <f t="shared" si="3"/>
        <v>28</v>
      </c>
      <c r="R40" s="315"/>
      <c r="U40" s="514"/>
    </row>
    <row r="41" spans="1:21" s="25" customFormat="1" ht="12.75" customHeight="1" x14ac:dyDescent="0.2">
      <c r="A41" s="388">
        <f t="shared" si="2"/>
        <v>29</v>
      </c>
      <c r="B41" s="326">
        <v>80</v>
      </c>
      <c r="C41" s="327" t="str">
        <f>IF(B41="","",LOOKUP($B41,'Cadastro de BC - Servidores'!A45:B158))</f>
        <v>Marleide Batista de Oliveira</v>
      </c>
      <c r="D41" s="328" t="str">
        <f>IF(B41="","",LOOKUP(B41,'Cadastro de BC - Servidores'!A42:A156,'Cadastro de BC - Servidores'!H42:H156))</f>
        <v>674.048-0</v>
      </c>
      <c r="E41" s="329" t="str">
        <f>IF(B41="","",LOOKUP(B41,'Cadastro de BC - Servidores'!A42:A156,'Cadastro de BC - Servidores'!I42:I156))</f>
        <v>256.850.905-87</v>
      </c>
      <c r="F41" s="329" t="str">
        <f>IF(B41="","",LOOKUP(B41,'Cadastro de BC - Servidores'!A42:A156,'Cadastro de BC - Servidores'!J42:J156))</f>
        <v>047/029</v>
      </c>
      <c r="G41" s="328" t="str">
        <f>IF(B41="","",LOOKUP(B41,'Cadastro de BC - Servidores'!A42:A156,'Cadastro de BC - Servidores'!K42:K156))</f>
        <v>025756-8</v>
      </c>
      <c r="H41" s="330">
        <f>IF(B41="","",LOOKUP(B41,'Cadastro de BC - Servidores'!A42:A156,'Cadastro de BC - Servidores'!L42:L156))</f>
        <v>1.6</v>
      </c>
      <c r="I41" s="331">
        <f>IF(B41="","",LOOKUP(B41,'Cadastro de BC - Servidores'!$A$13:$A$130,'Cadastro de BC - Servidores'!$O$13:$O$130))</f>
        <v>2896</v>
      </c>
      <c r="J41" s="332">
        <f>IF(B41="","",LOOKUP(B41,'Cadastro de BC - Servidores'!A42:A156,'Cadastro de BC - Servidores'!T42:T156))</f>
        <v>0</v>
      </c>
      <c r="K41" s="333">
        <f>IF(B41="","",LOOKUP(B41,'Cadastro de BC - Servidores'!$A$13:$A$130,'Cadastro de BC - Servidores'!$AB$13:$AB$130))</f>
        <v>784.51350000000014</v>
      </c>
      <c r="L41" s="334">
        <f>IF(B41="","",LOOKUP(B41,'Cadastro de BC - Servidores'!$A$13:$A$130,'Cadastro de BC - Servidores'!$AC$13:$AC$130))</f>
        <v>0</v>
      </c>
      <c r="M41" s="334">
        <f>IF(C41="","",LOOKUP(B41,'Cadastro de BC - Servidores'!A47:A160,'Cadastro de BC - Servidores'!AD47:AD160))</f>
        <v>0</v>
      </c>
      <c r="N41" s="332">
        <f t="shared" si="0"/>
        <v>784.51350000000014</v>
      </c>
      <c r="O41" s="335"/>
      <c r="P41" s="331">
        <f t="shared" si="1"/>
        <v>2111.4865</v>
      </c>
      <c r="Q41" s="388">
        <f t="shared" si="3"/>
        <v>29</v>
      </c>
      <c r="R41" s="315"/>
      <c r="U41" s="514"/>
    </row>
    <row r="42" spans="1:21" s="25" customFormat="1" ht="12.75" customHeight="1" x14ac:dyDescent="0.2">
      <c r="A42" s="388">
        <f t="shared" si="2"/>
        <v>30</v>
      </c>
      <c r="B42" s="326">
        <v>81</v>
      </c>
      <c r="C42" s="327" t="str">
        <f>IF(B42="","",LOOKUP($B42,'Cadastro de BC - Servidores'!A46:B159))</f>
        <v>Rosemary Menezes Oliveira</v>
      </c>
      <c r="D42" s="328">
        <f>IF(B42="","",LOOKUP(B42,'Cadastro de BC - Servidores'!A43:A157,'Cadastro de BC - Servidores'!H43:H157))</f>
        <v>415377</v>
      </c>
      <c r="E42" s="329" t="str">
        <f>IF(B42="","",LOOKUP(B42,'Cadastro de BC - Servidores'!A43:A157,'Cadastro de BC - Servidores'!I43:I157))</f>
        <v>264.901.025-87</v>
      </c>
      <c r="F42" s="329" t="str">
        <f>IF(B42="","",LOOKUP(B42,'Cadastro de BC - Servidores'!A43:A157,'Cadastro de BC - Servidores'!J43:J157))</f>
        <v>047/029</v>
      </c>
      <c r="G42" s="328" t="str">
        <f>IF(B42="","",LOOKUP(B42,'Cadastro de BC - Servidores'!A43:A157,'Cadastro de BC - Servidores'!K43:K157))</f>
        <v>3623-5</v>
      </c>
      <c r="H42" s="330">
        <f>IF(B42="","",LOOKUP(B42,'Cadastro de BC - Servidores'!A43:A157,'Cadastro de BC - Servidores'!L43:L157))</f>
        <v>0.65</v>
      </c>
      <c r="I42" s="331">
        <f>IF(B42="","",LOOKUP(B42,'Cadastro de BC - Servidores'!$A$13:$A$130,'Cadastro de BC - Servidores'!$O$13:$O$130))</f>
        <v>1176.5</v>
      </c>
      <c r="J42" s="332">
        <f>IF(B42="","",LOOKUP(B42,'Cadastro de BC - Servidores'!A43:A157,'Cadastro de BC - Servidores'!T43:T157))</f>
        <v>0</v>
      </c>
      <c r="K42" s="333">
        <f>IF(B42="","",LOOKUP(B42,'Cadastro de BC - Servidores'!$A$13:$A$130,'Cadastro de BC - Servidores'!$AB$13:$AB$130))</f>
        <v>323.53750000000014</v>
      </c>
      <c r="L42" s="334">
        <f>IF(B42="","",LOOKUP(B42,'Cadastro de BC - Servidores'!$A$13:$A$130,'Cadastro de BC - Servidores'!$AC$13:$AC$130))</f>
        <v>0</v>
      </c>
      <c r="M42" s="334">
        <f>IF(C42="","",LOOKUP(B42,'Cadastro de BC - Servidores'!A48:A161,'Cadastro de BC - Servidores'!AD48:AD161))</f>
        <v>0</v>
      </c>
      <c r="N42" s="332">
        <f t="shared" si="0"/>
        <v>323.53750000000014</v>
      </c>
      <c r="O42" s="335"/>
      <c r="P42" s="331">
        <f t="shared" si="1"/>
        <v>852.96249999999986</v>
      </c>
      <c r="Q42" s="388">
        <f t="shared" si="3"/>
        <v>30</v>
      </c>
      <c r="R42" s="315"/>
      <c r="U42" s="514"/>
    </row>
    <row r="43" spans="1:21" s="25" customFormat="1" ht="12.75" customHeight="1" x14ac:dyDescent="0.2">
      <c r="A43" s="388">
        <f t="shared" si="2"/>
        <v>31</v>
      </c>
      <c r="B43" s="326">
        <v>82</v>
      </c>
      <c r="C43" s="327" t="str">
        <f>IF(B43="","",LOOKUP($B43,'Cadastro de BC - Servidores'!A47:B160))</f>
        <v>Rafael Fortunato dos Santos</v>
      </c>
      <c r="D43" s="328" t="str">
        <f>IF(B43="","",LOOKUP(B43,'Cadastro de BC - Servidores'!A44:A158,'Cadastro de BC - Servidores'!H44:H158))</f>
        <v>540.651-0</v>
      </c>
      <c r="E43" s="329" t="str">
        <f>IF(B43="","",LOOKUP(B43,'Cadastro de BC - Servidores'!A44:A158,'Cadastro de BC - Servidores'!I44:I158))</f>
        <v>276.514.955-00</v>
      </c>
      <c r="F43" s="329" t="str">
        <f>IF(B43="","",LOOKUP(B43,'Cadastro de BC - Servidores'!A44:A158,'Cadastro de BC - Servidores'!J44:J158))</f>
        <v>047/029</v>
      </c>
      <c r="G43" s="328" t="str">
        <f>IF(B43="","",LOOKUP(B43,'Cadastro de BC - Servidores'!A44:A158,'Cadastro de BC - Servidores'!K44:K158))</f>
        <v>003117-9</v>
      </c>
      <c r="H43" s="330">
        <f>IF(B43="","",LOOKUP(B43,'Cadastro de BC - Servidores'!A44:A158,'Cadastro de BC - Servidores'!L44:L158))</f>
        <v>1.5</v>
      </c>
      <c r="I43" s="331">
        <f>IF(B43="","",LOOKUP(B43,'Cadastro de BC - Servidores'!$A$13:$A$130,'Cadastro de BC - Servidores'!$O$13:$O$130))</f>
        <v>2715</v>
      </c>
      <c r="J43" s="332">
        <f>IF(B43="","",LOOKUP(B43,'Cadastro de BC - Servidores'!A44:A158,'Cadastro de BC - Servidores'!T44:T158))</f>
        <v>0</v>
      </c>
      <c r="K43" s="333">
        <f>IF(B43="","",LOOKUP(B43,'Cadastro de BC - Servidores'!$A$13:$A$130,'Cadastro de BC - Servidores'!$AB$13:$AB$130))</f>
        <v>689.75250000000005</v>
      </c>
      <c r="L43" s="334">
        <f>IF(B43="","",LOOKUP(B43,'Cadastro de BC - Servidores'!$A$13:$A$130,'Cadastro de BC - Servidores'!$AC$13:$AC$130))</f>
        <v>0</v>
      </c>
      <c r="M43" s="334">
        <f>IF(C43="","",LOOKUP(B43,'Cadastro de BC - Servidores'!A49:A162,'Cadastro de BC - Servidores'!AD49:AD162))</f>
        <v>0</v>
      </c>
      <c r="N43" s="332">
        <f t="shared" si="0"/>
        <v>689.75250000000005</v>
      </c>
      <c r="O43" s="335"/>
      <c r="P43" s="331">
        <f t="shared" si="1"/>
        <v>2025.2474999999999</v>
      </c>
      <c r="Q43" s="388">
        <f t="shared" si="3"/>
        <v>31</v>
      </c>
      <c r="R43" s="315"/>
      <c r="U43" s="514"/>
    </row>
    <row r="44" spans="1:21" s="25" customFormat="1" ht="12.75" customHeight="1" x14ac:dyDescent="0.2">
      <c r="A44" s="388">
        <f t="shared" si="2"/>
        <v>32</v>
      </c>
      <c r="B44" s="326">
        <v>83</v>
      </c>
      <c r="C44" s="327" t="str">
        <f>IF(B44="","",LOOKUP($B44,'Cadastro de BC - Servidores'!A48:B161))</f>
        <v>Risoleta Mariano Miranda da Silva</v>
      </c>
      <c r="D44" s="328">
        <f>IF(B44="","",LOOKUP(B44,'Cadastro de BC - Servidores'!A45:A159,'Cadastro de BC - Servidores'!H45:H159))</f>
        <v>1491209</v>
      </c>
      <c r="E44" s="329" t="str">
        <f>IF(B44="","",LOOKUP(B44,'Cadastro de BC - Servidores'!A45:A159,'Cadastro de BC - Servidores'!I45:I159))</f>
        <v>103.852.665-53</v>
      </c>
      <c r="F44" s="329" t="str">
        <f>IF(B44="","",LOOKUP(B44,'Cadastro de BC - Servidores'!A45:A159,'Cadastro de BC - Servidores'!J45:J159))</f>
        <v>047/015</v>
      </c>
      <c r="G44" s="328" t="str">
        <f>IF(B44="","",LOOKUP(B44,'Cadastro de BC - Servidores'!A45:A159,'Cadastro de BC - Servidores'!K45:K159))</f>
        <v>057880-1</v>
      </c>
      <c r="H44" s="330">
        <f>IF(B44="","",LOOKUP(B44,'Cadastro de BC - Servidores'!A45:A159,'Cadastro de BC - Servidores'!L45:L159))</f>
        <v>0.41</v>
      </c>
      <c r="I44" s="331">
        <f>IF(B44="","",LOOKUP(B44,'Cadastro de BC - Servidores'!$A$13:$A$130,'Cadastro de BC - Servidores'!$O$13:$O$130))</f>
        <v>742.09999999999991</v>
      </c>
      <c r="J44" s="332">
        <f>IF(B44="","",LOOKUP(B44,'Cadastro de BC - Servidores'!A45:A159,'Cadastro de BC - Servidores'!T45:T159))</f>
        <v>0</v>
      </c>
      <c r="K44" s="333">
        <f>IF(B44="","",LOOKUP(B44,'Cadastro de BC - Servidores'!$A$13:$A$130,'Cadastro de BC - Servidores'!$AB$13:$AB$130))</f>
        <v>166.97250000000008</v>
      </c>
      <c r="L44" s="334">
        <f>IF(B44="","",LOOKUP(B44,'Cadastro de BC - Servidores'!$A$13:$A$130,'Cadastro de BC - Servidores'!$AC$13:$AC$130))</f>
        <v>0</v>
      </c>
      <c r="M44" s="334">
        <f>IF(C44="","",LOOKUP(B44,'Cadastro de BC - Servidores'!A50:A163,'Cadastro de BC - Servidores'!AD50:AD163))</f>
        <v>0</v>
      </c>
      <c r="N44" s="332">
        <f t="shared" si="0"/>
        <v>166.97250000000008</v>
      </c>
      <c r="O44" s="335"/>
      <c r="P44" s="331">
        <f t="shared" si="1"/>
        <v>575.12749999999983</v>
      </c>
      <c r="Q44" s="388">
        <f t="shared" si="3"/>
        <v>32</v>
      </c>
      <c r="R44" s="315"/>
      <c r="U44" s="514"/>
    </row>
    <row r="45" spans="1:21" s="25" customFormat="1" ht="12.75" customHeight="1" x14ac:dyDescent="0.2">
      <c r="A45" s="388">
        <f t="shared" si="2"/>
        <v>33</v>
      </c>
      <c r="B45" s="479">
        <v>84</v>
      </c>
      <c r="C45" s="480" t="str">
        <f>IF(B45="","",LOOKUP($B45,'Cadastro de BC - Servidores'!A49:B162))</f>
        <v xml:space="preserve">Jorge Eduardo Alves Fontes </v>
      </c>
      <c r="D45" s="481">
        <f>IF(B45="","",LOOKUP(B45,'Cadastro de BC - Servidores'!A46:A160,'Cadastro de BC - Servidores'!H46:H160))</f>
        <v>637089</v>
      </c>
      <c r="E45" s="482" t="str">
        <f>IF(B45="","",LOOKUP(B45,'Cadastro de BC - Servidores'!A46:A160,'Cadastro de BC - Servidores'!I46:I160))</f>
        <v>264.616.685-00</v>
      </c>
      <c r="F45" s="482" t="str">
        <f>IF(B45="","",LOOKUP(B45,'Cadastro de BC - Servidores'!A46:A160,'Cadastro de BC - Servidores'!J46:J160))</f>
        <v>047/015</v>
      </c>
      <c r="G45" s="481" t="str">
        <f>IF(B45="","",LOOKUP(B45,'Cadastro de BC - Servidores'!A46:A160,'Cadastro de BC - Servidores'!K46:K160))</f>
        <v>032.737-0</v>
      </c>
      <c r="H45" s="483">
        <f>IF(B45="","",LOOKUP(B45,'Cadastro de BC - Servidores'!A46:A160,'Cadastro de BC - Servidores'!L46:L160))</f>
        <v>1.1499999999999999</v>
      </c>
      <c r="I45" s="484">
        <f>IF(B45="","",LOOKUP(B45,'Cadastro de BC - Servidores'!$A$13:$A$130,'Cadastro de BC - Servidores'!$O$13:$O$130))</f>
        <v>2081.5</v>
      </c>
      <c r="J45" s="485">
        <f>IF(B45="","",LOOKUP(B45,'Cadastro de BC - Servidores'!A46:A160,'Cadastro de BC - Servidores'!T46:T160))</f>
        <v>0</v>
      </c>
      <c r="K45" s="486">
        <f>IF(B45="","",LOOKUP(B45,'Cadastro de BC - Servidores'!$A$13:$A$130,'Cadastro de BC - Servidores'!$AB$13:$AB$130))</f>
        <v>499.19250000000017</v>
      </c>
      <c r="L45" s="487">
        <f>IF(B45="","",LOOKUP(B45,'Cadastro de BC - Servidores'!$A$13:$A$130,'Cadastro de BC - Servidores'!$AC$13:$AC$130))</f>
        <v>0</v>
      </c>
      <c r="M45" s="487">
        <f>IF(C45="","",LOOKUP(B45,'Cadastro de BC - Servidores'!A51:A164,'Cadastro de BC - Servidores'!AD51:AD164))</f>
        <v>0</v>
      </c>
      <c r="N45" s="485">
        <f t="shared" si="0"/>
        <v>499.19250000000017</v>
      </c>
      <c r="O45" s="488"/>
      <c r="P45" s="331">
        <f>I45-N45+O45</f>
        <v>1582.3074999999999</v>
      </c>
      <c r="Q45" s="388">
        <f t="shared" si="3"/>
        <v>33</v>
      </c>
      <c r="R45" s="315"/>
      <c r="U45" s="514"/>
    </row>
    <row r="46" spans="1:21" s="25" customFormat="1" ht="12.75" customHeight="1" x14ac:dyDescent="0.2">
      <c r="A46" s="388">
        <f t="shared" si="2"/>
        <v>34</v>
      </c>
      <c r="B46" s="326">
        <v>85</v>
      </c>
      <c r="C46" s="327" t="str">
        <f>IF(B46="","",LOOKUP($B46,'Cadastro de BC - Servidores'!A50:B163))</f>
        <v>Tania Cristina Castro de Oliveira</v>
      </c>
      <c r="D46" s="328" t="str">
        <f>IF(B46="","",LOOKUP(B46,'Cadastro de BC - Servidores'!A47:A161,'Cadastro de BC - Servidores'!H47:H161))</f>
        <v>520.955-2</v>
      </c>
      <c r="E46" s="329" t="str">
        <f>IF(B46="","",LOOKUP(B46,'Cadastro de BC - Servidores'!A47:A161,'Cadastro de BC - Servidores'!I47:I161))</f>
        <v>356.167.095-49</v>
      </c>
      <c r="F46" s="329" t="str">
        <f>IF(B46="","",LOOKUP(B46,'Cadastro de BC - Servidores'!A47:A161,'Cadastro de BC - Servidores'!J47:J161))</f>
        <v>047/034</v>
      </c>
      <c r="G46" s="328" t="str">
        <f>IF(B46="","",LOOKUP(B46,'Cadastro de BC - Servidores'!A47:A161,'Cadastro de BC - Servidores'!K47:K161))</f>
        <v>016956-8</v>
      </c>
      <c r="H46" s="330">
        <f>IF(B46="","",LOOKUP(B46,'Cadastro de BC - Servidores'!A47:A161,'Cadastro de BC - Servidores'!L47:L161))</f>
        <v>0.75</v>
      </c>
      <c r="I46" s="331">
        <f>IF(B46="","",LOOKUP(B46,'Cadastro de BC - Servidores'!$A$13:$A$130,'Cadastro de BC - Servidores'!$O$13:$O$130))</f>
        <v>1357.5</v>
      </c>
      <c r="J46" s="332">
        <f>IF(B46="","",LOOKUP(B46,'Cadastro de BC - Servidores'!A47:A161,'Cadastro de BC - Servidores'!T47:T161))</f>
        <v>0</v>
      </c>
      <c r="K46" s="333">
        <f>IF(B46="","",LOOKUP(B46,'Cadastro de BC - Servidores'!$A$13:$A$130,'Cadastro de BC - Servidores'!$AB$13:$AB$130))</f>
        <v>346.23800000000006</v>
      </c>
      <c r="L46" s="334">
        <f>IF(B46="","",LOOKUP(B46,'Cadastro de BC - Servidores'!$A$13:$A$130,'Cadastro de BC - Servidores'!$AC$13:$AC$130))</f>
        <v>0</v>
      </c>
      <c r="M46" s="334">
        <f>IF(C46="","",LOOKUP(B46,'Cadastro de BC - Servidores'!A52:A165,'Cadastro de BC - Servidores'!AD52:AD165))</f>
        <v>0</v>
      </c>
      <c r="N46" s="332">
        <f t="shared" si="0"/>
        <v>346.23800000000006</v>
      </c>
      <c r="O46" s="335"/>
      <c r="P46" s="331">
        <f t="shared" si="1"/>
        <v>1011.2619999999999</v>
      </c>
      <c r="Q46" s="388">
        <f t="shared" si="3"/>
        <v>34</v>
      </c>
      <c r="R46" s="315"/>
      <c r="U46" s="516">
        <f>I50-L50-M50</f>
        <v>69721.199999999983</v>
      </c>
    </row>
    <row r="47" spans="1:21" s="25" customFormat="1" ht="12.75" customHeight="1" x14ac:dyDescent="0.2">
      <c r="A47" s="388">
        <f t="shared" si="2"/>
        <v>35</v>
      </c>
      <c r="B47" s="326">
        <v>86</v>
      </c>
      <c r="C47" s="327" t="str">
        <f>IF(B47="","",LOOKUP($B47,'Cadastro de BC - Servidores'!A51:B164))</f>
        <v>Tânia Lima de Azevedo</v>
      </c>
      <c r="D47" s="328" t="str">
        <f>IF(B47="","",LOOKUP(B47,'Cadastro de BC - Servidores'!A48:A162,'Cadastro de BC - Servidores'!H48:H162))</f>
        <v>424.163-0</v>
      </c>
      <c r="E47" s="329" t="str">
        <f>IF(B47="","",LOOKUP(B47,'Cadastro de BC - Servidores'!A48:A162,'Cadastro de BC - Servidores'!I48:I162))</f>
        <v>517.828.715-00</v>
      </c>
      <c r="F47" s="329" t="str">
        <f>IF(B47="","",LOOKUP(B47,'Cadastro de BC - Servidores'!A48:A162,'Cadastro de BC - Servidores'!J48:J162))</f>
        <v>047/029</v>
      </c>
      <c r="G47" s="328" t="str">
        <f>IF(B47="","",LOOKUP(B47,'Cadastro de BC - Servidores'!A48:A162,'Cadastro de BC - Servidores'!K48:K162))</f>
        <v>003297-3</v>
      </c>
      <c r="H47" s="330">
        <f>IF(B47="","",LOOKUP(B47,'Cadastro de BC - Servidores'!A48:A162,'Cadastro de BC - Servidores'!L48:L162))</f>
        <v>1.5</v>
      </c>
      <c r="I47" s="331">
        <f>IF(B47="","",LOOKUP(B47,'Cadastro de BC - Servidores'!$A$13:$A$130,'Cadastro de BC - Servidores'!$O$13:$O$130))</f>
        <v>2715</v>
      </c>
      <c r="J47" s="332">
        <f>IF(B47="","",LOOKUP(B47,'Cadastro de BC - Servidores'!A48:A162,'Cadastro de BC - Servidores'!T48:T162))</f>
        <v>0</v>
      </c>
      <c r="K47" s="333">
        <f>IF(B47="","",LOOKUP(B47,'Cadastro de BC - Servidores'!$A$13:$A$130,'Cadastro de BC - Servidores'!$AB$13:$AB$130))</f>
        <v>626.32625000000007</v>
      </c>
      <c r="L47" s="334">
        <f>IF(B47="","",LOOKUP(B47,'Cadastro de BC - Servidores'!$A$13:$A$130,'Cadastro de BC - Servidores'!$AC$13:$AC$130))</f>
        <v>0</v>
      </c>
      <c r="M47" s="334">
        <f>IF(C47="","",LOOKUP(B47,'Cadastro de BC - Servidores'!A53:A166,'Cadastro de BC - Servidores'!AD53:AD166))</f>
        <v>0</v>
      </c>
      <c r="N47" s="332">
        <f t="shared" si="0"/>
        <v>626.32625000000007</v>
      </c>
      <c r="O47" s="335"/>
      <c r="P47" s="331">
        <f t="shared" si="1"/>
        <v>2088.6737499999999</v>
      </c>
      <c r="Q47" s="388">
        <f t="shared" si="3"/>
        <v>35</v>
      </c>
      <c r="R47" s="315"/>
      <c r="U47" s="514"/>
    </row>
    <row r="48" spans="1:21" s="25" customFormat="1" ht="12.75" customHeight="1" x14ac:dyDescent="0.2">
      <c r="A48" s="388">
        <f t="shared" si="2"/>
        <v>36</v>
      </c>
      <c r="B48" s="326">
        <v>117</v>
      </c>
      <c r="C48" s="327" t="str">
        <f>IF(B48="","",LOOKUP($B48,'Cadastro de BC - Servidores'!A33:B146))</f>
        <v>Ana lucia *</v>
      </c>
      <c r="D48" s="337"/>
      <c r="E48" s="329">
        <f>IF(B48="","",LOOKUP(B48,'Cadastro de BC - Servidores'!A49:A163,'Cadastro de BC - Servidores'!I49:I163))</f>
        <v>0</v>
      </c>
      <c r="F48" s="329">
        <f>IF(B48="","",LOOKUP(B48,'Cadastro de BC - Servidores'!A49:A163,'Cadastro de BC - Servidores'!J49:J163))</f>
        <v>2186</v>
      </c>
      <c r="G48" s="328" t="str">
        <f>IF(B48="","",LOOKUP(B48,'Cadastro de BC - Servidores'!A49:A163,'Cadastro de BC - Servidores'!K49:K163))</f>
        <v>62884-0</v>
      </c>
      <c r="H48" s="338"/>
      <c r="I48" s="331">
        <f>L28</f>
        <v>330.18374999999992</v>
      </c>
      <c r="J48" s="332"/>
      <c r="K48" s="333"/>
      <c r="L48" s="339"/>
      <c r="M48" s="340"/>
      <c r="N48" s="332"/>
      <c r="O48" s="341"/>
      <c r="P48" s="331">
        <f t="shared" si="1"/>
        <v>330.18374999999992</v>
      </c>
      <c r="Q48" s="387"/>
      <c r="R48" s="315"/>
      <c r="U48" s="514"/>
    </row>
    <row r="49" spans="1:21" s="25" customFormat="1" ht="12.75" customHeight="1" x14ac:dyDescent="0.2">
      <c r="A49" s="388">
        <f t="shared" si="2"/>
        <v>37</v>
      </c>
      <c r="B49" s="326">
        <v>119</v>
      </c>
      <c r="C49" s="327">
        <f>IF(B49="","",LOOKUP($B49,'Cadastro de BC - Servidores'!A35:B148))</f>
        <v>0</v>
      </c>
      <c r="D49" s="337"/>
      <c r="E49" s="337">
        <f>IF(B49="","",LOOKUP(B49,'Cadastro de BC - Servidores'!A35:A148,'Cadastro de BC - Servidores'!I35:I148))</f>
        <v>0</v>
      </c>
      <c r="F49" s="329">
        <f>IF(B49="","",LOOKUP(B49,'Cadastro de BC - Servidores'!A50:A164,'Cadastro de BC - Servidores'!J50:J164))</f>
        <v>0</v>
      </c>
      <c r="G49" s="328">
        <f>IF(B49="","",LOOKUP(B49,'Cadastro de BC - Servidores'!A50:A164,'Cadastro de BC - Servidores'!K50:K164))</f>
        <v>0</v>
      </c>
      <c r="H49" s="337"/>
      <c r="I49" s="331">
        <f>L45</f>
        <v>0</v>
      </c>
      <c r="J49" s="332"/>
      <c r="K49" s="333"/>
      <c r="L49" s="339"/>
      <c r="M49" s="342"/>
      <c r="N49" s="332"/>
      <c r="O49" s="343"/>
      <c r="P49" s="331">
        <f t="shared" si="1"/>
        <v>0</v>
      </c>
      <c r="Q49" s="387"/>
      <c r="R49" s="315"/>
      <c r="U49" s="514"/>
    </row>
    <row r="50" spans="1:21" s="25" customFormat="1" ht="17.45" customHeight="1" x14ac:dyDescent="0.2">
      <c r="A50" s="387"/>
      <c r="B50" s="611" t="s">
        <v>457</v>
      </c>
      <c r="C50" s="611"/>
      <c r="D50" s="611"/>
      <c r="E50" s="611"/>
      <c r="F50" s="611"/>
      <c r="G50" s="611"/>
      <c r="H50" s="611"/>
      <c r="I50" s="344">
        <f t="shared" ref="I50:P50" si="4">SUM(I13:I49)</f>
        <v>70051.383749999979</v>
      </c>
      <c r="J50" s="344">
        <f t="shared" si="4"/>
        <v>0</v>
      </c>
      <c r="K50" s="344">
        <f t="shared" si="4"/>
        <v>17511.885250000007</v>
      </c>
      <c r="L50" s="344">
        <f t="shared" si="4"/>
        <v>330.18374999999992</v>
      </c>
      <c r="M50" s="344">
        <f t="shared" si="4"/>
        <v>0</v>
      </c>
      <c r="N50" s="344">
        <f t="shared" si="4"/>
        <v>17842.069000000003</v>
      </c>
      <c r="O50" s="344">
        <f t="shared" si="4"/>
        <v>0</v>
      </c>
      <c r="P50" s="344">
        <f t="shared" si="4"/>
        <v>52209.314749999998</v>
      </c>
      <c r="Q50" s="394"/>
      <c r="R50" s="315"/>
      <c r="U50" s="514"/>
    </row>
    <row r="51" spans="1:21" s="25" customFormat="1" ht="14.25" customHeight="1" x14ac:dyDescent="0.2">
      <c r="A51" s="387"/>
      <c r="B51" s="612" t="s">
        <v>489</v>
      </c>
      <c r="C51" s="612"/>
      <c r="D51" s="612"/>
      <c r="E51" s="612"/>
      <c r="F51" s="612"/>
      <c r="G51" s="612"/>
      <c r="H51" s="612"/>
      <c r="I51" s="612"/>
      <c r="J51" s="612"/>
      <c r="K51" s="612"/>
      <c r="L51" s="612"/>
      <c r="M51" s="612"/>
      <c r="N51" s="612"/>
      <c r="O51" s="612"/>
      <c r="P51" s="612"/>
      <c r="Q51" s="394"/>
      <c r="R51" s="315"/>
      <c r="U51" s="514"/>
    </row>
    <row r="52" spans="1:21" s="25" customFormat="1" ht="12.75" customHeight="1" x14ac:dyDescent="0.2">
      <c r="A52" s="387"/>
      <c r="B52" s="613"/>
      <c r="C52" s="613"/>
      <c r="D52" s="613"/>
      <c r="E52" s="613"/>
      <c r="F52" s="613"/>
      <c r="G52" s="613"/>
      <c r="H52" s="613"/>
      <c r="I52" s="613"/>
      <c r="J52" s="613"/>
      <c r="K52" s="613"/>
      <c r="L52" s="613"/>
      <c r="M52" s="613"/>
      <c r="N52" s="613"/>
      <c r="O52" s="613"/>
      <c r="P52" s="613"/>
      <c r="Q52" s="394"/>
      <c r="R52" s="315"/>
      <c r="U52" s="514"/>
    </row>
    <row r="53" spans="1:21" ht="12.75" customHeight="1" x14ac:dyDescent="0.2">
      <c r="A53" s="386"/>
      <c r="B53" s="613"/>
      <c r="C53" s="613"/>
      <c r="D53" s="613"/>
      <c r="E53" s="613"/>
      <c r="F53" s="613"/>
      <c r="G53" s="613"/>
      <c r="H53" s="613"/>
      <c r="I53" s="613"/>
      <c r="J53" s="613"/>
      <c r="K53" s="613"/>
      <c r="L53" s="613"/>
      <c r="M53" s="613"/>
      <c r="N53" s="613"/>
      <c r="O53" s="613"/>
      <c r="P53" s="613"/>
      <c r="Q53" s="386"/>
      <c r="R53" s="313"/>
      <c r="U53" s="517"/>
    </row>
    <row r="54" spans="1:21" ht="14.85" customHeight="1" x14ac:dyDescent="0.2">
      <c r="A54" s="389"/>
      <c r="B54" s="613"/>
      <c r="C54" s="613"/>
      <c r="D54" s="613"/>
      <c r="E54" s="613"/>
      <c r="F54" s="613"/>
      <c r="G54" s="613"/>
      <c r="H54" s="613"/>
      <c r="I54" s="613"/>
      <c r="J54" s="613"/>
      <c r="K54" s="613"/>
      <c r="L54" s="613"/>
      <c r="M54" s="613"/>
      <c r="N54" s="613"/>
      <c r="O54" s="613"/>
      <c r="P54" s="313"/>
      <c r="Q54" s="386"/>
      <c r="R54" s="313"/>
      <c r="U54" s="517"/>
    </row>
    <row r="55" spans="1:21" ht="14.85" customHeight="1" x14ac:dyDescent="0.2">
      <c r="A55" s="386"/>
      <c r="B55" s="610"/>
      <c r="C55" s="610"/>
      <c r="D55" s="610"/>
      <c r="E55" s="610"/>
      <c r="F55" s="610"/>
      <c r="G55" s="610"/>
      <c r="H55" s="610"/>
      <c r="I55" s="610"/>
      <c r="J55" s="610"/>
      <c r="K55" s="610"/>
      <c r="L55" s="610"/>
      <c r="M55" s="610"/>
      <c r="N55" s="610"/>
      <c r="O55" s="610"/>
      <c r="P55" s="610"/>
      <c r="Q55" s="386"/>
      <c r="R55" s="313"/>
    </row>
    <row r="56" spans="1:21" ht="14.85" customHeight="1" x14ac:dyDescent="0.2">
      <c r="A56" s="386"/>
      <c r="B56" s="313"/>
      <c r="C56" s="313"/>
      <c r="D56" s="313"/>
      <c r="E56" s="313"/>
      <c r="F56" s="313"/>
      <c r="G56" s="313"/>
      <c r="H56" s="313"/>
      <c r="I56" s="313"/>
      <c r="J56" s="313"/>
      <c r="K56" s="313"/>
      <c r="L56" s="313"/>
      <c r="M56" s="313"/>
      <c r="N56" s="313"/>
      <c r="O56" s="313"/>
      <c r="P56" s="313"/>
      <c r="Q56" s="386"/>
      <c r="R56" s="313"/>
    </row>
    <row r="57" spans="1:21" ht="14.85" customHeight="1" x14ac:dyDescent="0.2">
      <c r="A57" s="386"/>
      <c r="B57" s="313"/>
      <c r="C57" s="313"/>
      <c r="D57" s="313"/>
      <c r="E57" s="313"/>
      <c r="F57" s="313"/>
      <c r="G57" s="313"/>
      <c r="H57" s="313"/>
      <c r="I57" s="313"/>
      <c r="J57" s="313"/>
      <c r="K57" s="313"/>
      <c r="L57" s="313"/>
      <c r="M57" s="313"/>
      <c r="N57" s="313"/>
      <c r="O57" s="313"/>
      <c r="P57" s="313"/>
      <c r="Q57" s="386"/>
      <c r="R57" s="313"/>
    </row>
    <row r="58" spans="1:21" ht="14.85" customHeight="1" x14ac:dyDescent="0.2">
      <c r="A58" s="386"/>
      <c r="B58" s="313"/>
      <c r="C58" s="313"/>
      <c r="D58" s="313"/>
      <c r="E58" s="313"/>
      <c r="F58" s="313"/>
      <c r="G58" s="313"/>
      <c r="H58" s="313"/>
      <c r="I58" s="313"/>
      <c r="J58" s="313"/>
      <c r="K58" s="313"/>
      <c r="L58" s="313"/>
      <c r="M58" s="313"/>
      <c r="N58" s="313"/>
      <c r="O58" s="313"/>
      <c r="P58" s="313"/>
      <c r="Q58" s="386"/>
      <c r="R58" s="313"/>
    </row>
    <row r="59" spans="1:21" ht="14.85" customHeight="1" x14ac:dyDescent="0.2">
      <c r="A59" s="386"/>
      <c r="B59" s="313"/>
      <c r="C59" s="313"/>
      <c r="D59" s="313"/>
      <c r="E59" s="313"/>
      <c r="F59" s="313"/>
      <c r="G59" s="313"/>
      <c r="H59" s="313"/>
      <c r="I59" s="313"/>
      <c r="J59" s="313"/>
      <c r="K59" s="313"/>
      <c r="L59" s="313"/>
      <c r="M59" s="313"/>
      <c r="N59" s="313"/>
      <c r="O59" s="313"/>
      <c r="P59" s="313"/>
      <c r="Q59" s="386"/>
      <c r="R59" s="313"/>
    </row>
    <row r="60" spans="1:21" ht="14.85" customHeight="1" x14ac:dyDescent="0.2">
      <c r="A60" s="386"/>
      <c r="B60" s="313"/>
      <c r="C60" s="313"/>
      <c r="D60" s="313"/>
      <c r="E60" s="313"/>
      <c r="F60" s="313"/>
      <c r="G60" s="313"/>
      <c r="H60" s="313"/>
      <c r="I60" s="313"/>
      <c r="J60" s="313"/>
      <c r="K60" s="313"/>
      <c r="L60" s="313"/>
      <c r="M60" s="313"/>
      <c r="N60" s="313"/>
      <c r="O60" s="313"/>
      <c r="P60" s="313"/>
      <c r="Q60" s="386"/>
      <c r="R60" s="313"/>
    </row>
  </sheetData>
  <mergeCells count="19">
    <mergeCell ref="B55:P55"/>
    <mergeCell ref="B50:H50"/>
    <mergeCell ref="B51:P51"/>
    <mergeCell ref="B52:P52"/>
    <mergeCell ref="B53:P53"/>
    <mergeCell ref="B54:O54"/>
    <mergeCell ref="B7:P7"/>
    <mergeCell ref="E9:G9"/>
    <mergeCell ref="H9:I9"/>
    <mergeCell ref="B11:I11"/>
    <mergeCell ref="J11:N11"/>
    <mergeCell ref="O11:O12"/>
    <mergeCell ref="P11:P12"/>
    <mergeCell ref="B12:C12"/>
    <mergeCell ref="B1:P1"/>
    <mergeCell ref="B2:P2"/>
    <mergeCell ref="B3:P3"/>
    <mergeCell ref="B4:P4"/>
    <mergeCell ref="B6:P6"/>
  </mergeCells>
  <pageMargins left="0.23611099999999999" right="0.23611099999999999" top="0" bottom="0" header="0.315278" footer="0.315278"/>
  <pageSetup paperSize="9" scale="6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7"/>
  <sheetViews>
    <sheetView showGridLines="0" workbookViewId="0">
      <selection activeCell="B32" sqref="B32"/>
    </sheetView>
  </sheetViews>
  <sheetFormatPr defaultRowHeight="12.75" x14ac:dyDescent="0.2"/>
  <cols>
    <col min="1" max="1" width="3.42578125" style="25" customWidth="1"/>
    <col min="2" max="2" width="28.7109375" style="25" customWidth="1"/>
    <col min="3" max="3" width="12.28515625" style="25" customWidth="1"/>
    <col min="4" max="4" width="14.85546875" style="25" customWidth="1"/>
    <col min="5" max="5" width="7.85546875" style="25" customWidth="1"/>
    <col min="6" max="6" width="9.7109375" style="25" customWidth="1"/>
    <col min="7" max="7" width="6.5703125" style="25" customWidth="1"/>
    <col min="8" max="8" width="12.28515625" style="25" customWidth="1"/>
    <col min="9" max="9" width="9.28515625" style="25" customWidth="1"/>
    <col min="10" max="10" width="11.85546875" style="25" customWidth="1"/>
    <col min="11" max="11" width="9" style="25" customWidth="1"/>
    <col min="12" max="12" width="11.85546875" style="25" customWidth="1"/>
    <col min="13" max="13" width="10.5703125" style="25" customWidth="1"/>
    <col min="14" max="14" width="12.5703125" style="25" customWidth="1"/>
    <col min="15" max="15" width="9.140625" style="395"/>
    <col min="16" max="18" width="9.140625" style="25"/>
    <col min="19" max="19" width="10.5703125" style="25" customWidth="1"/>
    <col min="20" max="16384" width="9.140625" style="25"/>
  </cols>
  <sheetData>
    <row r="1" spans="1:15" x14ac:dyDescent="0.2">
      <c r="A1" s="345"/>
      <c r="B1" s="315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7"/>
      <c r="O1" s="387"/>
    </row>
    <row r="2" spans="1:15" ht="15" x14ac:dyDescent="0.2">
      <c r="A2" s="614" t="s">
        <v>0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  <c r="O2" s="387"/>
    </row>
    <row r="3" spans="1:15" x14ac:dyDescent="0.2">
      <c r="A3" s="615" t="s">
        <v>1</v>
      </c>
      <c r="B3" s="615"/>
      <c r="C3" s="615"/>
      <c r="D3" s="615"/>
      <c r="E3" s="615"/>
      <c r="F3" s="615"/>
      <c r="G3" s="615"/>
      <c r="H3" s="615"/>
      <c r="I3" s="615"/>
      <c r="J3" s="615"/>
      <c r="K3" s="615"/>
      <c r="L3" s="615"/>
      <c r="M3" s="615"/>
      <c r="N3" s="615"/>
      <c r="O3" s="387"/>
    </row>
    <row r="4" spans="1:15" x14ac:dyDescent="0.2">
      <c r="A4" s="616" t="s">
        <v>2</v>
      </c>
      <c r="B4" s="616"/>
      <c r="C4" s="616"/>
      <c r="D4" s="616"/>
      <c r="E4" s="616"/>
      <c r="F4" s="616"/>
      <c r="G4" s="616"/>
      <c r="H4" s="616"/>
      <c r="I4" s="616"/>
      <c r="J4" s="616"/>
      <c r="K4" s="616"/>
      <c r="L4" s="616"/>
      <c r="M4" s="616"/>
      <c r="N4" s="616"/>
      <c r="O4" s="387"/>
    </row>
    <row r="5" spans="1:15" x14ac:dyDescent="0.2">
      <c r="A5" s="616" t="s">
        <v>3</v>
      </c>
      <c r="B5" s="616"/>
      <c r="C5" s="616"/>
      <c r="D5" s="616"/>
      <c r="E5" s="616"/>
      <c r="F5" s="616"/>
      <c r="G5" s="616"/>
      <c r="H5" s="616"/>
      <c r="I5" s="616"/>
      <c r="J5" s="616"/>
      <c r="K5" s="616"/>
      <c r="L5" s="616"/>
      <c r="M5" s="616"/>
      <c r="N5" s="616"/>
      <c r="O5" s="387"/>
    </row>
    <row r="6" spans="1:15" ht="18" customHeight="1" x14ac:dyDescent="0.2">
      <c r="A6" s="348"/>
      <c r="B6" s="349"/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50"/>
      <c r="O6" s="387"/>
    </row>
    <row r="7" spans="1:15" x14ac:dyDescent="0.2">
      <c r="A7" s="617"/>
      <c r="B7" s="617"/>
      <c r="C7" s="617"/>
      <c r="D7" s="617"/>
      <c r="E7" s="617"/>
      <c r="F7" s="617"/>
      <c r="G7" s="617"/>
      <c r="H7" s="617"/>
      <c r="I7" s="617"/>
      <c r="J7" s="617"/>
      <c r="K7" s="617"/>
      <c r="L7" s="617"/>
      <c r="M7" s="617"/>
      <c r="N7" s="617"/>
      <c r="O7" s="387"/>
    </row>
    <row r="8" spans="1:15" ht="10.5" customHeight="1" x14ac:dyDescent="0.2">
      <c r="A8" s="315"/>
      <c r="B8" s="316"/>
      <c r="C8" s="316"/>
      <c r="D8" s="316"/>
      <c r="E8" s="316"/>
      <c r="F8" s="316"/>
      <c r="G8" s="316"/>
      <c r="H8" s="316"/>
      <c r="I8" s="316"/>
      <c r="J8" s="316"/>
      <c r="K8" s="316"/>
      <c r="L8" s="316"/>
      <c r="M8" s="316"/>
      <c r="N8" s="316"/>
      <c r="O8" s="387"/>
    </row>
    <row r="9" spans="1:15" x14ac:dyDescent="0.2">
      <c r="A9" s="622" t="s">
        <v>490</v>
      </c>
      <c r="B9" s="622"/>
      <c r="C9" s="622"/>
      <c r="D9" s="622"/>
      <c r="E9" s="622"/>
      <c r="F9" s="622"/>
      <c r="G9" s="622"/>
      <c r="H9" s="622"/>
      <c r="I9" s="622"/>
      <c r="J9" s="622"/>
      <c r="K9" s="622"/>
      <c r="L9" s="622"/>
      <c r="M9" s="622"/>
      <c r="N9" s="622"/>
      <c r="O9" s="387"/>
    </row>
    <row r="10" spans="1:15" ht="12.75" customHeight="1" x14ac:dyDescent="0.2">
      <c r="A10" s="623" t="s">
        <v>491</v>
      </c>
      <c r="B10" s="623"/>
      <c r="C10" s="623"/>
      <c r="D10" s="623"/>
      <c r="E10" s="623"/>
      <c r="F10" s="623"/>
      <c r="G10" s="623"/>
      <c r="H10" s="623"/>
      <c r="I10" s="623"/>
      <c r="J10" s="623"/>
      <c r="K10" s="623"/>
      <c r="L10" s="623"/>
      <c r="M10" s="623"/>
      <c r="N10" s="623"/>
      <c r="O10" s="387"/>
    </row>
    <row r="11" spans="1:15" ht="15.75" customHeight="1" x14ac:dyDescent="0.2">
      <c r="A11" s="351"/>
      <c r="B11" s="351"/>
      <c r="C11" s="351"/>
      <c r="D11" s="351"/>
      <c r="E11" s="351"/>
      <c r="F11" s="351"/>
      <c r="G11" s="351"/>
      <c r="H11" s="351"/>
      <c r="I11" s="351"/>
      <c r="J11" s="351"/>
      <c r="K11" s="351"/>
      <c r="L11" s="351"/>
      <c r="M11" s="351"/>
      <c r="N11" s="351"/>
      <c r="O11" s="387"/>
    </row>
    <row r="12" spans="1:15" ht="16.5" customHeight="1" x14ac:dyDescent="0.2">
      <c r="A12" s="315"/>
      <c r="B12" s="317" t="s">
        <v>477</v>
      </c>
      <c r="C12" s="317"/>
      <c r="D12" s="602" t="s">
        <v>17</v>
      </c>
      <c r="E12" s="602"/>
      <c r="F12" s="602"/>
      <c r="G12" s="624">
        <f>'Cadastro de BC - Servidores'!I10</f>
        <v>181000</v>
      </c>
      <c r="H12" s="624"/>
      <c r="I12" s="318"/>
      <c r="J12" s="318"/>
      <c r="K12" s="319"/>
      <c r="L12" s="319"/>
      <c r="M12" s="319"/>
      <c r="N12" s="315"/>
      <c r="O12" s="387"/>
    </row>
    <row r="13" spans="1:15" ht="6.75" customHeight="1" x14ac:dyDescent="0.2">
      <c r="A13" s="315"/>
      <c r="B13" s="317"/>
      <c r="C13" s="317"/>
      <c r="D13" s="317"/>
      <c r="E13" s="317"/>
      <c r="F13" s="317"/>
      <c r="G13" s="320"/>
      <c r="H13" s="318"/>
      <c r="I13" s="318"/>
      <c r="J13" s="318"/>
      <c r="K13" s="319"/>
      <c r="L13" s="319"/>
      <c r="M13" s="319"/>
      <c r="N13" s="315"/>
      <c r="O13" s="387"/>
    </row>
    <row r="14" spans="1:15" ht="15.75" customHeight="1" x14ac:dyDescent="0.2">
      <c r="A14" s="604">
        <f>'Cadastro de BC - Servidores'!E10</f>
        <v>45839</v>
      </c>
      <c r="B14" s="604"/>
      <c r="C14" s="604"/>
      <c r="D14" s="604"/>
      <c r="E14" s="604"/>
      <c r="F14" s="604"/>
      <c r="G14" s="604"/>
      <c r="H14" s="604"/>
      <c r="I14" s="625" t="s">
        <v>478</v>
      </c>
      <c r="J14" s="625"/>
      <c r="K14" s="625"/>
      <c r="L14" s="625"/>
      <c r="M14" s="626" t="s">
        <v>479</v>
      </c>
      <c r="N14" s="608" t="s">
        <v>480</v>
      </c>
      <c r="O14" s="387"/>
    </row>
    <row r="15" spans="1:15" x14ac:dyDescent="0.2">
      <c r="A15" s="625" t="s">
        <v>481</v>
      </c>
      <c r="B15" s="625"/>
      <c r="C15" s="321" t="s">
        <v>482</v>
      </c>
      <c r="D15" s="322" t="s">
        <v>37</v>
      </c>
      <c r="E15" s="322" t="s">
        <v>483</v>
      </c>
      <c r="F15" s="321" t="s">
        <v>484</v>
      </c>
      <c r="G15" s="321" t="s">
        <v>40</v>
      </c>
      <c r="H15" s="321" t="s">
        <v>492</v>
      </c>
      <c r="I15" s="322" t="s">
        <v>486</v>
      </c>
      <c r="J15" s="322" t="s">
        <v>487</v>
      </c>
      <c r="K15" s="352" t="s">
        <v>56</v>
      </c>
      <c r="L15" s="325" t="s">
        <v>457</v>
      </c>
      <c r="M15" s="626"/>
      <c r="N15" s="608"/>
      <c r="O15" s="387"/>
    </row>
    <row r="16" spans="1:15" x14ac:dyDescent="0.2">
      <c r="A16" s="274">
        <v>21</v>
      </c>
      <c r="B16" s="353" t="str">
        <f>IF(A16="","",LOOKUP($A16,'Cadastro de BC - Servidores'!A14:B130))</f>
        <v xml:space="preserve">Acácia Maria N. Rosa Marques </v>
      </c>
      <c r="C16" s="354">
        <f>IF(A16="","",LOOKUP(A16,'Cadastro de BC - Servidores'!A14:A130,'Cadastro de BC - Servidores'!H14:H130))</f>
        <v>746579</v>
      </c>
      <c r="D16" s="329" t="str">
        <f>IF(A16="","",LOOKUP(A16,'Cadastro de BC - Servidores'!A14:A130,'Cadastro de BC - Servidores'!I14:I130))</f>
        <v>360.823.765-87</v>
      </c>
      <c r="E16" s="329" t="str">
        <f>IF(A16="","",LOOKUP(A16,'Cadastro de BC - Servidores'!A14:A130,'Cadastro de BC - Servidores'!J14:J130))</f>
        <v>047/014</v>
      </c>
      <c r="F16" s="354" t="str">
        <f>IF(A16="","",LOOKUP(A16,'Cadastro de BC - Servidores'!A14:A130,'Cadastro de BC - Servidores'!K14:K130))</f>
        <v>044180-6</v>
      </c>
      <c r="G16" s="401">
        <f>IF(A16="","",LOOKUP(A16,'Cadastro de BC - Servidores'!A14:A130,'Cadastro de BC - Servidores'!L14:L130))</f>
        <v>0.41</v>
      </c>
      <c r="H16" s="355">
        <f>IF(A16="","",LOOKUP(A16,'Cadastro de BC - Servidores'!$A$14:$A$130,'Cadastro de BC - Servidores'!$O$14:$O$130))</f>
        <v>742.09999999999991</v>
      </c>
      <c r="I16" s="356">
        <f>IF(A16="","",LOOKUP(A16,'Cadastro de BC - Servidores'!$A$14:$A$130,'Cadastro de BC - Servidores'!$T$14:$T$130))</f>
        <v>0</v>
      </c>
      <c r="J16" s="355">
        <f>IF(A16="","",LOOKUP(A16,'Cadastro de BC - Servidores'!$A$14:$A$130,'Cadastro de BC - Servidores'!$AB$14:$AB$130))</f>
        <v>156.92500000000001</v>
      </c>
      <c r="K16" s="329">
        <f>IF(A16="","",LOOKUP(A16,'Cadastro de BC - Servidores'!A14:A130,'Cadastro de BC - Servidores'!AC14:AC130))</f>
        <v>0</v>
      </c>
      <c r="L16" s="356">
        <f t="shared" ref="L16:L33" si="0">I16+J16+K16</f>
        <v>156.92500000000001</v>
      </c>
      <c r="M16" s="357"/>
      <c r="N16" s="355">
        <f t="shared" ref="N16:N33" si="1">H16-L16+M16</f>
        <v>585.17499999999995</v>
      </c>
      <c r="O16" s="315">
        <v>1</v>
      </c>
    </row>
    <row r="17" spans="1:15" x14ac:dyDescent="0.2">
      <c r="A17" s="274">
        <v>22</v>
      </c>
      <c r="B17" s="353" t="str">
        <f>IF(A17="","",LOOKUP($A17,'Cadastro de BC - Servidores'!A15:B131))</f>
        <v>Abel Freire Freitas</v>
      </c>
      <c r="C17" s="354">
        <f>IF(A17="","",LOOKUP(A17,'Cadastro de BC - Servidores'!A15:A131,'Cadastro de BC - Servidores'!H15:H131))</f>
        <v>762422</v>
      </c>
      <c r="D17" s="329" t="str">
        <f>IF(A17="","",LOOKUP(A17,'Cadastro de BC - Servidores'!A15:A131,'Cadastro de BC - Servidores'!I15:I131))</f>
        <v>357.638.685-87</v>
      </c>
      <c r="E17" s="329" t="str">
        <f>IF(A17="","",LOOKUP(A17,'Cadastro de BC - Servidores'!A15:A131,'Cadastro de BC - Servidores'!J15:J131))</f>
        <v>047/051</v>
      </c>
      <c r="F17" s="354" t="str">
        <f>IF(A17="","",LOOKUP(A17,'Cadastro de BC - Servidores'!A15:A131,'Cadastro de BC - Servidores'!K15:K131))</f>
        <v>02220-6</v>
      </c>
      <c r="G17" s="401">
        <f>IF(A17="","",LOOKUP(A17,'Cadastro de BC - Servidores'!A15:A131,'Cadastro de BC - Servidores'!L15:L131))</f>
        <v>1.1499999999999999</v>
      </c>
      <c r="H17" s="355">
        <f>IF(A17="","",LOOKUP(A17,'Cadastro de BC - Servidores'!$A$14:$A$130,'Cadastro de BC - Servidores'!$O$14:$O$130))</f>
        <v>2081.5</v>
      </c>
      <c r="I17" s="356">
        <f>IF(A17="","",LOOKUP(A17,'Cadastro de BC - Servidores'!$A$14:$A$130,'Cadastro de BC - Servidores'!$T$14:$T$130))</f>
        <v>0</v>
      </c>
      <c r="J17" s="355">
        <f>IF(A17="","",LOOKUP(A17,'Cadastro de BC - Servidores'!$A$14:$A$130,'Cadastro de BC - Servidores'!$AB$14:$AB$130))</f>
        <v>454.61999999999995</v>
      </c>
      <c r="K17" s="329">
        <f>IF(A17="","",LOOKUP(A17,'Cadastro de BC - Servidores'!A15:A131,'Cadastro de BC - Servidores'!AC15:AC131))</f>
        <v>0</v>
      </c>
      <c r="L17" s="356">
        <f t="shared" si="0"/>
        <v>454.61999999999995</v>
      </c>
      <c r="M17" s="357"/>
      <c r="N17" s="355">
        <f t="shared" si="1"/>
        <v>1626.88</v>
      </c>
      <c r="O17" s="315">
        <f t="shared" ref="O17:O22" si="2">O16+1</f>
        <v>2</v>
      </c>
    </row>
    <row r="18" spans="1:15" x14ac:dyDescent="0.2">
      <c r="A18" s="274">
        <v>23</v>
      </c>
      <c r="B18" s="353" t="str">
        <f>IF(A18="","",LOOKUP($A18,'Cadastro de BC - Servidores'!A16:B132))</f>
        <v>Belisdete Barbosa dos Santos</v>
      </c>
      <c r="C18" s="354" t="str">
        <f>IF(A18="","",LOOKUP(A18,'Cadastro de BC - Servidores'!A16:A132,'Cadastro de BC - Servidores'!H16:H132))</f>
        <v>806.913-1</v>
      </c>
      <c r="D18" s="329" t="str">
        <f>IF(A18="","",LOOKUP(A18,'Cadastro de BC - Servidores'!A16:A132,'Cadastro de BC - Servidores'!I16:I132))</f>
        <v>312.475.805-63</v>
      </c>
      <c r="E18" s="329" t="str">
        <f>IF(A18="","",LOOKUP(A18,'Cadastro de BC - Servidores'!A16:A132,'Cadastro de BC - Servidores'!J16:J132))</f>
        <v>047/015</v>
      </c>
      <c r="F18" s="354" t="str">
        <f>IF(A18="","",LOOKUP(A18,'Cadastro de BC - Servidores'!A16:A132,'Cadastro de BC - Servidores'!K16:K132))</f>
        <v>004643-5</v>
      </c>
      <c r="G18" s="401">
        <f>IF(A18="","",LOOKUP(A18,'Cadastro de BC - Servidores'!A16:A132,'Cadastro de BC - Servidores'!L16:L132))</f>
        <v>0.45</v>
      </c>
      <c r="H18" s="355">
        <f>IF(A18="","",LOOKUP(A18,'Cadastro de BC - Servidores'!$A$14:$A$130,'Cadastro de BC - Servidores'!$O$14:$O$130))</f>
        <v>814.50000000000011</v>
      </c>
      <c r="I18" s="356">
        <f>IF(A18="","",LOOKUP(A18,'Cadastro de BC - Servidores'!$A$14:$A$130,'Cadastro de BC - Servidores'!$T$14:$T$130))</f>
        <v>0</v>
      </c>
      <c r="J18" s="355">
        <f>IF(A18="","",LOOKUP(A18,'Cadastro de BC - Servidores'!$A$14:$A$130,'Cadastro de BC - Servidores'!$AB$14:$AB$130))</f>
        <v>183.26250000000016</v>
      </c>
      <c r="K18" s="329">
        <f>IF(A18="","",LOOKUP(A18,'Cadastro de BC - Servidores'!A16:A132,'Cadastro de BC - Servidores'!AC16:AC132))</f>
        <v>0</v>
      </c>
      <c r="L18" s="356">
        <f t="shared" si="0"/>
        <v>183.26250000000016</v>
      </c>
      <c r="M18" s="357"/>
      <c r="N18" s="355">
        <f t="shared" si="1"/>
        <v>631.23749999999995</v>
      </c>
      <c r="O18" s="315">
        <f t="shared" si="2"/>
        <v>3</v>
      </c>
    </row>
    <row r="19" spans="1:15" x14ac:dyDescent="0.2">
      <c r="A19" s="274">
        <v>24</v>
      </c>
      <c r="B19" s="353" t="str">
        <f>IF(A19="","",LOOKUP($A19,'Cadastro de BC - Servidores'!A17:B133))</f>
        <v>Carlos Alberto de Alcântara</v>
      </c>
      <c r="C19" s="354">
        <f>IF(A19="","",LOOKUP(A19,'Cadastro de BC - Servidores'!A17:A133,'Cadastro de BC - Servidores'!H17:H133))</f>
        <v>395104</v>
      </c>
      <c r="D19" s="329" t="str">
        <f>IF(A19="","",LOOKUP(A19,'Cadastro de BC - Servidores'!A17:A133,'Cadastro de BC - Servidores'!I17:I133))</f>
        <v>150.956.735-68</v>
      </c>
      <c r="E19" s="329" t="str">
        <f>IF(A19="","",LOOKUP(A19,'Cadastro de BC - Servidores'!A17:A133,'Cadastro de BC - Servidores'!J17:J133))</f>
        <v>047/014</v>
      </c>
      <c r="F19" s="354" t="str">
        <f>IF(A19="","",LOOKUP(A19,'Cadastro de BC - Servidores'!A17:A133,'Cadastro de BC - Servidores'!K17:K133))</f>
        <v>068795-3</v>
      </c>
      <c r="G19" s="401">
        <f>IF(A19="","",LOOKUP(A19,'Cadastro de BC - Servidores'!A17:A133,'Cadastro de BC - Servidores'!L17:L133))</f>
        <v>1</v>
      </c>
      <c r="H19" s="355">
        <f>IF(A19="","",LOOKUP(A19,'Cadastro de BC - Servidores'!$A$14:$A$130,'Cadastro de BC - Servidores'!$O$14:$O$130))</f>
        <v>1810</v>
      </c>
      <c r="I19" s="356">
        <f>IF(A19="","",LOOKUP(A19,'Cadastro de BC - Servidores'!$A$14:$A$130,'Cadastro de BC - Servidores'!$T$14:$T$130))</f>
        <v>0</v>
      </c>
      <c r="J19" s="355">
        <f>IF(A19="","",LOOKUP(A19,'Cadastro de BC - Servidores'!$A$14:$A$130,'Cadastro de BC - Servidores'!$AB$14:$AB$130))</f>
        <v>47.877999999999986</v>
      </c>
      <c r="K19" s="329">
        <f>IF(A19="","",LOOKUP(A19,'Cadastro de BC - Servidores'!A17:A133,'Cadastro de BC - Servidores'!AC17:AC133))</f>
        <v>0</v>
      </c>
      <c r="L19" s="356">
        <f t="shared" si="0"/>
        <v>47.877999999999986</v>
      </c>
      <c r="M19" s="357"/>
      <c r="N19" s="355">
        <f t="shared" si="1"/>
        <v>1762.1220000000001</v>
      </c>
      <c r="O19" s="315">
        <f t="shared" si="2"/>
        <v>4</v>
      </c>
    </row>
    <row r="20" spans="1:15" x14ac:dyDescent="0.2">
      <c r="A20" s="274">
        <v>26</v>
      </c>
      <c r="B20" s="353" t="str">
        <f>IF(A20="","",LOOKUP($A20,'Cadastro de BC - Servidores'!A18:B134))</f>
        <v>Eduardo José dos Santos Filho</v>
      </c>
      <c r="C20" s="354">
        <f>IF(A20="","",LOOKUP(A20,'Cadastro de BC - Servidores'!A18:A134,'Cadastro de BC - Servidores'!H18:H134))</f>
        <v>537885</v>
      </c>
      <c r="D20" s="329" t="str">
        <f>IF(A20="","",LOOKUP(A20,'Cadastro de BC - Servidores'!A18:A134,'Cadastro de BC - Servidores'!I18:I134))</f>
        <v>201.872.625-00</v>
      </c>
      <c r="E20" s="329" t="str">
        <f>IF(A20="","",LOOKUP(A20,'Cadastro de BC - Servidores'!A18:A134,'Cadastro de BC - Servidores'!J18:J134))</f>
        <v>047/034</v>
      </c>
      <c r="F20" s="354" t="str">
        <f>IF(A20="","",LOOKUP(A20,'Cadastro de BC - Servidores'!A18:A134,'Cadastro de BC - Servidores'!K18:K134))</f>
        <v>002670-8</v>
      </c>
      <c r="G20" s="401">
        <f>IF(A20="","",LOOKUP(A20,'Cadastro de BC - Servidores'!A18:A134,'Cadastro de BC - Servidores'!L18:L134))</f>
        <v>0.41</v>
      </c>
      <c r="H20" s="355">
        <f>IF(A20="","",LOOKUP(A20,'Cadastro de BC - Servidores'!$A$14:$A$130,'Cadastro de BC - Servidores'!$O$14:$O$130))</f>
        <v>742.09999999999991</v>
      </c>
      <c r="I20" s="356">
        <f>IF(A20="","",LOOKUP(A20,'Cadastro de BC - Servidores'!$A$14:$A$130,'Cadastro de BC - Servidores'!$T$14:$T$130))</f>
        <v>0</v>
      </c>
      <c r="J20" s="355">
        <f>IF(A20="","",LOOKUP(A20,'Cadastro de BC - Servidores'!$A$14:$A$130,'Cadastro de BC - Servidores'!$AB$14:$AB$130))</f>
        <v>166.97249999999997</v>
      </c>
      <c r="K20" s="329">
        <f>IF(A20="","",LOOKUP(A20,'Cadastro de BC - Servidores'!A18:A134,'Cadastro de BC - Servidores'!AC18:AC134))</f>
        <v>0</v>
      </c>
      <c r="L20" s="356">
        <f t="shared" si="0"/>
        <v>166.97249999999997</v>
      </c>
      <c r="M20" s="357"/>
      <c r="N20" s="355">
        <f t="shared" si="1"/>
        <v>575.12749999999994</v>
      </c>
      <c r="O20" s="315">
        <f t="shared" si="2"/>
        <v>5</v>
      </c>
    </row>
    <row r="21" spans="1:15" x14ac:dyDescent="0.2">
      <c r="A21" s="274">
        <v>28</v>
      </c>
      <c r="B21" s="353" t="str">
        <f>IF(A21="","",LOOKUP($A21,'Cadastro de BC - Servidores'!A20:B136))</f>
        <v>Gustavo Silva de Araújo</v>
      </c>
      <c r="C21" s="354" t="str">
        <f>IF(A21="","",LOOKUP(A21,'Cadastro de BC - Servidores'!A20:A136,'Cadastro de BC - Servidores'!H20:H136))</f>
        <v>114.938-3</v>
      </c>
      <c r="D21" s="329" t="str">
        <f>IF(A21="","",LOOKUP(A21,'Cadastro de BC - Servidores'!A20:A136,'Cadastro de BC - Servidores'!I20:I136))</f>
        <v>983.828.885-34</v>
      </c>
      <c r="E21" s="329" t="str">
        <f>IF(A21="","",LOOKUP(A21,'Cadastro de BC - Servidores'!A20:A136,'Cadastro de BC - Servidores'!J20:J136))</f>
        <v>047/015</v>
      </c>
      <c r="F21" s="354" t="str">
        <f>IF(A21="","",LOOKUP(A21,'Cadastro de BC - Servidores'!A20:A136,'Cadastro de BC - Servidores'!K20:K136))</f>
        <v>067872-5</v>
      </c>
      <c r="G21" s="401">
        <f>IF(A21="","",LOOKUP(A21,'Cadastro de BC - Servidores'!A20:A136,'Cadastro de BC - Servidores'!L20:L136))</f>
        <v>1.6</v>
      </c>
      <c r="H21" s="355">
        <f>IF(A21="","",LOOKUP(A21,'Cadastro de BC - Servidores'!$A$14:$A$130,'Cadastro de BC - Servidores'!$O$14:$O$130))</f>
        <v>2896</v>
      </c>
      <c r="I21" s="356">
        <f>IF(A21="","",LOOKUP(A21,'Cadastro de BC - Servidores'!$A$14:$A$130,'Cadastro de BC - Servidores'!$T$14:$T$130))</f>
        <v>0</v>
      </c>
      <c r="J21" s="355">
        <f>IF(A21="","",LOOKUP(A21,'Cadastro de BC - Servidores'!$A$14:$A$130,'Cadastro de BC - Servidores'!$AB$14:$AB$130))</f>
        <v>796.39999999999986</v>
      </c>
      <c r="K21" s="329">
        <f>IF(A21="","",LOOKUP(A21,'Cadastro de BC - Servidores'!A20:A136,'Cadastro de BC - Servidores'!AC20:AC136))</f>
        <v>0</v>
      </c>
      <c r="L21" s="356">
        <f t="shared" si="0"/>
        <v>796.39999999999986</v>
      </c>
      <c r="M21" s="357"/>
      <c r="N21" s="355">
        <f t="shared" si="1"/>
        <v>2099.6000000000004</v>
      </c>
      <c r="O21" s="315">
        <f>O20+1</f>
        <v>6</v>
      </c>
    </row>
    <row r="22" spans="1:15" x14ac:dyDescent="0.2">
      <c r="A22" s="274">
        <v>31</v>
      </c>
      <c r="B22" s="353" t="str">
        <f>IF(A22="","",LOOKUP($A22,'Cadastro de BC - Servidores'!A23:B138))</f>
        <v>Joao Augusto Sizino Franco</v>
      </c>
      <c r="C22" s="354">
        <f>IF(A22="","",LOOKUP(A22,'Cadastro de BC - Servidores'!A22:A138,'Cadastro de BC - Servidores'!H22:H138))</f>
        <v>642056</v>
      </c>
      <c r="D22" s="329" t="str">
        <f>IF(A22="","",LOOKUP(A22,'Cadastro de BC - Servidores'!A22:A138,'Cadastro de BC - Servidores'!I22:I138))</f>
        <v>278.132.745-04</v>
      </c>
      <c r="E22" s="329" t="str">
        <f>IF(A22="","",LOOKUP(A22,'Cadastro de BC - Servidores'!A22:A138,'Cadastro de BC - Servidores'!J22:J138))</f>
        <v>047/018</v>
      </c>
      <c r="F22" s="354" t="str">
        <f>IF(A22="","",LOOKUP(A22,'Cadastro de BC - Servidores'!A22:A138,'Cadastro de BC - Servidores'!K22:K138))</f>
        <v>000366-8</v>
      </c>
      <c r="G22" s="401">
        <f>IF(A22="","",LOOKUP(A22,'Cadastro de BC - Servidores'!A22:A138,'Cadastro de BC - Servidores'!L22:L138))</f>
        <v>1.1499999999999999</v>
      </c>
      <c r="H22" s="355">
        <f>IF(A22="","",LOOKUP(A22,'Cadastro de BC - Servidores'!$A$14:$A$130,'Cadastro de BC - Servidores'!$O$14:$O$130))</f>
        <v>2081.5</v>
      </c>
      <c r="I22" s="356">
        <f>IF(A22="","",LOOKUP(A22,'Cadastro de BC - Servidores'!$A$14:$A$130,'Cadastro de BC - Servidores'!$T$14:$T$130))</f>
        <v>0</v>
      </c>
      <c r="J22" s="355">
        <f>IF(A22="","",LOOKUP(A22,'Cadastro de BC - Servidores'!$A$14:$A$130,'Cadastro de BC - Servidores'!$AB$14:$AB$130))</f>
        <v>445.94875000000019</v>
      </c>
      <c r="K22" s="329">
        <f>IF(A22="","",LOOKUP(A22,'Cadastro de BC - Servidores'!A22:A138,'Cadastro de BC - Servidores'!AC22:AC138))</f>
        <v>0</v>
      </c>
      <c r="L22" s="356">
        <f t="shared" si="0"/>
        <v>445.94875000000019</v>
      </c>
      <c r="M22" s="357"/>
      <c r="N22" s="355">
        <f t="shared" si="1"/>
        <v>1635.5512499999998</v>
      </c>
      <c r="O22" s="315">
        <f t="shared" si="2"/>
        <v>7</v>
      </c>
    </row>
    <row r="23" spans="1:15" x14ac:dyDescent="0.2">
      <c r="A23" s="274">
        <v>33</v>
      </c>
      <c r="B23" s="353" t="str">
        <f>IF(A23="","",LOOKUP($A23,'Cadastro de BC - Servidores'!A24:B139))</f>
        <v>Jose Augusto Gois Felipe</v>
      </c>
      <c r="C23" s="354" t="str">
        <f>IF(A23="","",LOOKUP(A23,'Cadastro de BC - Servidores'!A23:A139,'Cadastro de BC - Servidores'!H23:H139))</f>
        <v>278.962-0</v>
      </c>
      <c r="D23" s="329" t="str">
        <f>IF(A23="","",LOOKUP(A23,'Cadastro de BC - Servidores'!A23:A139,'Cadastro de BC - Servidores'!I23:I139))</f>
        <v>236.359.325-15</v>
      </c>
      <c r="E23" s="329" t="str">
        <f>IF(A23="","",LOOKUP(A23,'Cadastro de BC - Servidores'!A23:A139,'Cadastro de BC - Servidores'!J23:J139))</f>
        <v>047/014</v>
      </c>
      <c r="F23" s="354" t="str">
        <f>IF(A23="","",LOOKUP(A23,'Cadastro de BC - Servidores'!A23:A139,'Cadastro de BC - Servidores'!K23:K139))</f>
        <v>039140-0</v>
      </c>
      <c r="G23" s="401">
        <f>IF(A23="","",LOOKUP(A23,'Cadastro de BC - Servidores'!A23:A139,'Cadastro de BC - Servidores'!L23:L139))</f>
        <v>0.41</v>
      </c>
      <c r="H23" s="355">
        <f>IF(A23="","",LOOKUP(A23,'Cadastro de BC - Servidores'!$A$14:$A$130,'Cadastro de BC - Servidores'!$O$14:$O$130))</f>
        <v>742.09999999999991</v>
      </c>
      <c r="I23" s="356">
        <f>IF(A23="","",LOOKUP(A23,'Cadastro de BC - Servidores'!$A$14:$A$130,'Cadastro de BC - Servidores'!$T$14:$T$130))</f>
        <v>0</v>
      </c>
      <c r="J23" s="355">
        <f>IF(A23="","",LOOKUP(A23,'Cadastro de BC - Servidores'!$A$14:$A$130,'Cadastro de BC - Servidores'!$AB$14:$AB$130))</f>
        <v>178.38099999999997</v>
      </c>
      <c r="K23" s="329">
        <f>IF(A23="","",LOOKUP(A23,'Cadastro de BC - Servidores'!A23:A139,'Cadastro de BC - Servidores'!AC23:AC139))</f>
        <v>0</v>
      </c>
      <c r="L23" s="356">
        <f t="shared" si="0"/>
        <v>178.38099999999997</v>
      </c>
      <c r="M23" s="357"/>
      <c r="N23" s="355">
        <f t="shared" si="1"/>
        <v>563.71899999999994</v>
      </c>
      <c r="O23" s="315">
        <f>O22+1</f>
        <v>8</v>
      </c>
    </row>
    <row r="24" spans="1:15" x14ac:dyDescent="0.2">
      <c r="A24" s="474">
        <v>34</v>
      </c>
      <c r="B24" s="353" t="str">
        <f>IF(A24="","",LOOKUP($A24,'Cadastro de BC - Servidores'!A25:B140))</f>
        <v xml:space="preserve">Andrea Santana Campos </v>
      </c>
      <c r="C24" s="354">
        <f>IF(A24="","",LOOKUP(A24,'Cadastro de BC - Servidores'!A24:A140,'Cadastro de BC - Servidores'!H24:H140))</f>
        <v>36469262</v>
      </c>
      <c r="D24" s="329" t="str">
        <f>IF(A24="","",LOOKUP(A24,'Cadastro de BC - Servidores'!A24:A140,'Cadastro de BC - Servidores'!I24:I140))</f>
        <v>067.788.415-08</v>
      </c>
      <c r="E24" s="329" t="str">
        <f>IF(A24="","",LOOKUP(A24,'Cadastro de BC - Servidores'!A24:A140,'Cadastro de BC - Servidores'!J24:J140))</f>
        <v>047/09</v>
      </c>
      <c r="F24" s="354" t="str">
        <f>IF(A24="","",LOOKUP(A24,'Cadastro de BC - Servidores'!A24:A140,'Cadastro de BC - Servidores'!K24:K140))</f>
        <v>02/204.960-0</v>
      </c>
      <c r="G24" s="401">
        <f>IF(A24="","",LOOKUP(A24,'Cadastro de BC - Servidores'!A24:A140,'Cadastro de BC - Servidores'!L24:L140))</f>
        <v>0.6</v>
      </c>
      <c r="H24" s="355">
        <f>IF(A24="","",LOOKUP(A24,'Cadastro de BC - Servidores'!$A$14:$A$130,'Cadastro de BC - Servidores'!$O$14:$O$130))</f>
        <v>1086</v>
      </c>
      <c r="I24" s="356">
        <f>IF(A24="","",LOOKUP(A24,'Cadastro de BC - Servidores'!$A$14:$A$130,'Cadastro de BC - Servidores'!$T$14:$T$130))</f>
        <v>0</v>
      </c>
      <c r="J24" s="355">
        <f>IF(A24="","",LOOKUP(A24,'Cadastro de BC - Servidores'!$A$14:$A$130,'Cadastro de BC - Servidores'!$AB$14:$AB$130))</f>
        <v>176.43550000000005</v>
      </c>
      <c r="K24" s="329">
        <f>IF(A24="","",LOOKUP(A24,'Cadastro de BC - Servidores'!A24:A140,'Cadastro de BC - Servidores'!AC24:AC140))</f>
        <v>0</v>
      </c>
      <c r="L24" s="356">
        <f t="shared" si="0"/>
        <v>176.43550000000005</v>
      </c>
      <c r="M24" s="508"/>
      <c r="N24" s="355">
        <f t="shared" si="1"/>
        <v>909.56449999999995</v>
      </c>
      <c r="O24" s="315">
        <f t="shared" ref="O24:O33" si="3">O23+1</f>
        <v>9</v>
      </c>
    </row>
    <row r="25" spans="1:15" x14ac:dyDescent="0.2">
      <c r="A25" s="474">
        <v>36</v>
      </c>
      <c r="B25" s="353" t="str">
        <f>IF(A25="","",LOOKUP($A25,'Cadastro de BC - Servidores'!A26:B141))</f>
        <v xml:space="preserve">Antonio Carlos Porto de Andrade </v>
      </c>
      <c r="C25" s="354">
        <f>IF(A25="","",LOOKUP(A25,'Cadastro de BC - Servidores'!A25:A141,'Cadastro de BC - Servidores'!H25:H141))</f>
        <v>425709</v>
      </c>
      <c r="D25" s="329" t="str">
        <f>IF(A25="","",LOOKUP(A25,'Cadastro de BC - Servidores'!A25:A141,'Cadastro de BC - Servidores'!I25:I141))</f>
        <v>170.146.705-49</v>
      </c>
      <c r="E25" s="329" t="str">
        <f>IF(A25="","",LOOKUP(A25,'Cadastro de BC - Servidores'!A25:A141,'Cadastro de BC - Servidores'!J25:J141))</f>
        <v>047/043</v>
      </c>
      <c r="F25" s="354" t="str">
        <f>IF(A25="","",LOOKUP(A25,'Cadastro de BC - Servidores'!A25:A141,'Cadastro de BC - Servidores'!K25:K141))</f>
        <v>000795-8</v>
      </c>
      <c r="G25" s="401">
        <f>IF(A25="","",LOOKUP(A25,'Cadastro de BC - Servidores'!A25:A141,'Cadastro de BC - Servidores'!L25:L141))</f>
        <v>2.5</v>
      </c>
      <c r="H25" s="355">
        <f>IF(A25="","",LOOKUP(A25,'Cadastro de BC - Servidores'!$A$14:$A$130,'Cadastro de BC - Servidores'!$O$14:$O$130))</f>
        <v>4525</v>
      </c>
      <c r="I25" s="356">
        <f>IF(A25="","",LOOKUP(A25,'Cadastro de BC - Servidores'!$A$14:$A$130,'Cadastro de BC - Servidores'!$T$14:$T$130))</f>
        <v>0</v>
      </c>
      <c r="J25" s="355">
        <f>IF(A25="","",LOOKUP(A25,'Cadastro de BC - Servidores'!$A$14:$A$130,'Cadastro de BC - Servidores'!$AB$14:$AB$130))</f>
        <v>1244.375</v>
      </c>
      <c r="K25" s="329">
        <f>IF(A25="","",LOOKUP(A25,'Cadastro de BC - Servidores'!A25:A141,'Cadastro de BC - Servidores'!AC25:AC141))</f>
        <v>0</v>
      </c>
      <c r="L25" s="356">
        <f t="shared" si="0"/>
        <v>1244.375</v>
      </c>
      <c r="M25" s="508"/>
      <c r="N25" s="355">
        <f t="shared" si="1"/>
        <v>3280.625</v>
      </c>
      <c r="O25" s="315">
        <f t="shared" si="3"/>
        <v>10</v>
      </c>
    </row>
    <row r="26" spans="1:15" x14ac:dyDescent="0.2">
      <c r="A26" s="274">
        <v>38</v>
      </c>
      <c r="B26" s="353" t="str">
        <f>IF(A26="","",LOOKUP($A26,'Cadastro de BC - Servidores'!A29:B144))</f>
        <v>Mário José da Costa S. Filho</v>
      </c>
      <c r="C26" s="354" t="str">
        <f>IF(A26="","",LOOKUP(A26,'Cadastro de BC - Servidores'!A28:A144,'Cadastro de BC - Servidores'!H28:H144))</f>
        <v>568.063-4</v>
      </c>
      <c r="D26" s="329" t="str">
        <f>IF(A26="","",LOOKUP(A26,'Cadastro de BC - Servidores'!A28:A144,'Cadastro de BC - Servidores'!I28:I144))</f>
        <v>239.375.135-15</v>
      </c>
      <c r="E26" s="329" t="str">
        <f>IF(A26="","",LOOKUP(A26,'Cadastro de BC - Servidores'!A28:A144,'Cadastro de BC - Servidores'!J28:J144))</f>
        <v>047/014</v>
      </c>
      <c r="F26" s="354" t="str">
        <f>IF(A26="","",LOOKUP(A26,'Cadastro de BC - Servidores'!A28:A144,'Cadastro de BC - Servidores'!K28:K144))</f>
        <v>026611-7</v>
      </c>
      <c r="G26" s="401">
        <f>IF(A26="","",LOOKUP(A26,'Cadastro de BC - Servidores'!A28:A144,'Cadastro de BC - Servidores'!L28:L144))</f>
        <v>1.1499999999999999</v>
      </c>
      <c r="H26" s="355">
        <f>IF(A26="","",LOOKUP(A26,'Cadastro de BC - Servidores'!$A$14:$A$130,'Cadastro de BC - Servidores'!$O$14:$O$130))</f>
        <v>2081.5</v>
      </c>
      <c r="I26" s="356">
        <f>IF(A26="","",LOOKUP(A26,'Cadastro de BC - Servidores'!$A$14:$A$130,'Cadastro de BC - Servidores'!$T$14:$T$130))</f>
        <v>0</v>
      </c>
      <c r="J26" s="355">
        <f>IF(A26="","",LOOKUP(A26,'Cadastro de BC - Servidores'!$A$14:$A$130,'Cadastro de BC - Servidores'!$AB$14:$AB$130))</f>
        <v>512.77125000000024</v>
      </c>
      <c r="K26" s="329">
        <f>IF(A26="","",LOOKUP(A26,'Cadastro de BC - Servidores'!A28:A144,'Cadastro de BC - Servidores'!AC28:AC144))</f>
        <v>0</v>
      </c>
      <c r="L26" s="356">
        <f t="shared" si="0"/>
        <v>512.77125000000024</v>
      </c>
      <c r="M26" s="357"/>
      <c r="N26" s="355">
        <f t="shared" si="1"/>
        <v>1568.7287499999998</v>
      </c>
      <c r="O26" s="315">
        <f t="shared" si="3"/>
        <v>11</v>
      </c>
    </row>
    <row r="27" spans="1:15" x14ac:dyDescent="0.2">
      <c r="A27" s="274">
        <v>40</v>
      </c>
      <c r="B27" s="353" t="str">
        <f>IF(A27="","",LOOKUP($A27,'Cadastro de BC - Servidores'!A31:B146))</f>
        <v>José Serafim Bastos F. de Souza</v>
      </c>
      <c r="C27" s="354">
        <f>IF(A27="","",LOOKUP(A27,'Cadastro de BC - Servidores'!A29:A145,'Cadastro de BC - Servidores'!H29:H145))</f>
        <v>329242</v>
      </c>
      <c r="D27" s="329" t="str">
        <f>IF(A27="","",LOOKUP(A27,'Cadastro de BC - Servidores'!A29:A145,'Cadastro de BC - Servidores'!I29:I145))</f>
        <v>007.163.588-24</v>
      </c>
      <c r="E27" s="329" t="str">
        <f>IF(A27="","",LOOKUP(A27,'Cadastro de BC - Servidores'!A29:A145,'Cadastro de BC - Servidores'!J29:J145))</f>
        <v>047/015</v>
      </c>
      <c r="F27" s="354" t="str">
        <f>IF(A27="","",LOOKUP(A27,'Cadastro de BC - Servidores'!A29:A145,'Cadastro de BC - Servidores'!K29:K145))</f>
        <v>006563-4</v>
      </c>
      <c r="G27" s="401">
        <f>IF(A27="","",LOOKUP(A27,'Cadastro de BC - Servidores'!A29:A145,'Cadastro de BC - Servidores'!L29:L145))</f>
        <v>1.1499999999999999</v>
      </c>
      <c r="H27" s="355">
        <f>IF(A27="","",LOOKUP(A27,'Cadastro de BC - Servidores'!$A$14:$A$130,'Cadastro de BC - Servidores'!$O$14:$O$130))</f>
        <v>2081.5</v>
      </c>
      <c r="I27" s="356">
        <f>IF(A27="","",LOOKUP(A27,'Cadastro de BC - Servidores'!$A$14:$A$130,'Cadastro de BC - Servidores'!$T$14:$T$130))</f>
        <v>0</v>
      </c>
      <c r="J27" s="355">
        <f>IF(A27="","",LOOKUP(A27,'Cadastro de BC - Servidores'!$A$14:$A$130,'Cadastro de BC - Servidores'!$AB$14:$AB$130))</f>
        <v>212.10800000000006</v>
      </c>
      <c r="K27" s="329">
        <f>IF(A27="","",LOOKUP(A27,'Cadastro de BC - Servidores'!A29:A145,'Cadastro de BC - Servidores'!AC29:AC145))</f>
        <v>0</v>
      </c>
      <c r="L27" s="356">
        <f t="shared" si="0"/>
        <v>212.10800000000006</v>
      </c>
      <c r="M27" s="357"/>
      <c r="N27" s="355">
        <f t="shared" si="1"/>
        <v>1869.3919999999998</v>
      </c>
      <c r="O27" s="315">
        <f t="shared" si="3"/>
        <v>12</v>
      </c>
    </row>
    <row r="28" spans="1:15" x14ac:dyDescent="0.2">
      <c r="A28" s="274">
        <v>41</v>
      </c>
      <c r="B28" s="353" t="str">
        <f>IF(A28="","",LOOKUP($A28,'Cadastro de BC - Servidores'!A32:B147))</f>
        <v>Raimundo de Sales e Silva Filho</v>
      </c>
      <c r="C28" s="354">
        <f>IF(A28="","",LOOKUP(A28,'Cadastro de BC - Servidores'!A30:A146,'Cadastro de BC - Servidores'!H30:H146))</f>
        <v>607541</v>
      </c>
      <c r="D28" s="329" t="str">
        <f>IF(A28="","",LOOKUP(A28,'Cadastro de BC - Servidores'!A30:A146,'Cadastro de BC - Servidores'!I30:I146))</f>
        <v>275.385.915-91</v>
      </c>
      <c r="E28" s="329" t="str">
        <f>IF(A28="","",LOOKUP(A28,'Cadastro de BC - Servidores'!A30:A146,'Cadastro de BC - Servidores'!J30:J146))</f>
        <v>047/034</v>
      </c>
      <c r="F28" s="354" t="str">
        <f>IF(A28="","",LOOKUP(A28,'Cadastro de BC - Servidores'!A30:A146,'Cadastro de BC - Servidores'!K30:K146))</f>
        <v>08864-9</v>
      </c>
      <c r="G28" s="401">
        <f>IF(A28="","",LOOKUP(A28,'Cadastro de BC - Servidores'!A30:A146,'Cadastro de BC - Servidores'!L30:L146))</f>
        <v>1.1000000000000001</v>
      </c>
      <c r="H28" s="355">
        <f>IF(A28="","",LOOKUP(A28,'Cadastro de BC - Servidores'!$A$14:$A$130,'Cadastro de BC - Servidores'!$O$14:$O$130))</f>
        <v>1991.0000000000002</v>
      </c>
      <c r="I28" s="356">
        <f>IF(A28="","",LOOKUP(A28,'Cadastro de BC - Servidores'!$A$14:$A$130,'Cadastro de BC - Servidores'!$T$14:$T$130))</f>
        <v>0</v>
      </c>
      <c r="J28" s="355">
        <f>IF(A28="","",LOOKUP(A28,'Cadastro de BC - Servidores'!$A$14:$A$130,'Cadastro de BC - Servidores'!$AB$14:$AB$130))</f>
        <v>547.52500000000009</v>
      </c>
      <c r="K28" s="329">
        <f>IF(A28="","",LOOKUP(A28,'Cadastro de BC - Servidores'!A30:A146,'Cadastro de BC - Servidores'!AC30:AC146))</f>
        <v>0</v>
      </c>
      <c r="L28" s="356">
        <f t="shared" si="0"/>
        <v>547.52500000000009</v>
      </c>
      <c r="M28" s="357"/>
      <c r="N28" s="355">
        <f t="shared" si="1"/>
        <v>1443.4750000000001</v>
      </c>
      <c r="O28" s="315">
        <f t="shared" si="3"/>
        <v>13</v>
      </c>
    </row>
    <row r="29" spans="1:15" x14ac:dyDescent="0.2">
      <c r="A29" s="274">
        <v>42</v>
      </c>
      <c r="B29" s="353" t="str">
        <f>IF(A29="","",LOOKUP($A29,'Cadastro de BC - Servidores'!A33:B148))</f>
        <v>Rejane de Jesus Siqueira</v>
      </c>
      <c r="C29" s="354">
        <f>IF(A29="","",LOOKUP(A29,'Cadastro de BC - Servidores'!A31:A147,'Cadastro de BC - Servidores'!H31:H147))</f>
        <v>883434</v>
      </c>
      <c r="D29" s="329" t="str">
        <f>IF(A29="","",LOOKUP(A29,'Cadastro de BC - Servidores'!A31:A147,'Cadastro de BC - Servidores'!I31:I147))</f>
        <v>584350505-72</v>
      </c>
      <c r="E29" s="329" t="str">
        <f>IF(A29="","",LOOKUP(A29,'Cadastro de BC - Servidores'!A31:A147,'Cadastro de BC - Servidores'!J31:J147))</f>
        <v>047/011</v>
      </c>
      <c r="F29" s="354" t="str">
        <f>IF(A29="","",LOOKUP(A29,'Cadastro de BC - Servidores'!A31:A147,'Cadastro de BC - Servidores'!K31:K147))</f>
        <v>019935-3</v>
      </c>
      <c r="G29" s="401">
        <f>IF(A29="","",LOOKUP(A29,'Cadastro de BC - Servidores'!A31:A147,'Cadastro de BC - Servidores'!L31:L147))</f>
        <v>0.41</v>
      </c>
      <c r="H29" s="355">
        <f>IF(A29="","",LOOKUP(A29,'Cadastro de BC - Servidores'!$A$14:$A$130,'Cadastro de BC - Servidores'!$O$14:$O$130))</f>
        <v>742.09999999999991</v>
      </c>
      <c r="I29" s="356">
        <f>IF(A29="","",LOOKUP(A29,'Cadastro de BC - Servidores'!$A$14:$A$130,'Cadastro de BC - Servidores'!$T$14:$T$130))</f>
        <v>0</v>
      </c>
      <c r="J29" s="355">
        <f>IF(A29="","",LOOKUP(A29,'Cadastro de BC - Servidores'!$A$14:$A$130,'Cadastro de BC - Servidores'!$AB$14:$AB$130))</f>
        <v>151.61499999999995</v>
      </c>
      <c r="K29" s="329">
        <f>IF(A29="","",LOOKUP(A29,'Cadastro de BC - Servidores'!A31:A147,'Cadastro de BC - Servidores'!AC31:AC147))</f>
        <v>0</v>
      </c>
      <c r="L29" s="356">
        <f t="shared" si="0"/>
        <v>151.61499999999995</v>
      </c>
      <c r="M29" s="357"/>
      <c r="N29" s="355">
        <f t="shared" si="1"/>
        <v>590.4849999999999</v>
      </c>
      <c r="O29" s="315">
        <f t="shared" si="3"/>
        <v>14</v>
      </c>
    </row>
    <row r="30" spans="1:15" x14ac:dyDescent="0.2">
      <c r="A30" s="274">
        <v>43</v>
      </c>
      <c r="B30" s="353" t="str">
        <f>IF(A30="","",LOOKUP($A30,'Cadastro de BC - Servidores'!A34:B149))</f>
        <v>Rose Carla da Silva P. Matos</v>
      </c>
      <c r="C30" s="354">
        <f>IF(A30="","",LOOKUP(A30,'Cadastro de BC - Servidores'!A32:A148,'Cadastro de BC - Servidores'!H32:H148))</f>
        <v>1177999</v>
      </c>
      <c r="D30" s="329" t="str">
        <f>IF(A30="","",LOOKUP(A30,'Cadastro de BC - Servidores'!A32:A148,'Cadastro de BC - Servidores'!I32:I148))</f>
        <v>534.093.615-53</v>
      </c>
      <c r="E30" s="329" t="str">
        <f>IF(A30="","",LOOKUP(A30,'Cadastro de BC - Servidores'!A32:A148,'Cadastro de BC - Servidores'!J32:J148))</f>
        <v>047/064</v>
      </c>
      <c r="F30" s="354" t="str">
        <f>IF(A30="","",LOOKUP(A30,'Cadastro de BC - Servidores'!A32:A148,'Cadastro de BC - Servidores'!K32:K148))</f>
        <v>001.924-0</v>
      </c>
      <c r="G30" s="401">
        <f>IF(A30="","",LOOKUP(A30,'Cadastro de BC - Servidores'!A32:A148,'Cadastro de BC - Servidores'!L32:L148))</f>
        <v>1.5</v>
      </c>
      <c r="H30" s="355">
        <f>IF(A30="","",LOOKUP(A30,'Cadastro de BC - Servidores'!$A$14:$A$130,'Cadastro de BC - Servidores'!$O$14:$O$130))</f>
        <v>2715</v>
      </c>
      <c r="I30" s="356">
        <f>IF(A30="","",LOOKUP(A30,'Cadastro de BC - Servidores'!$A$14:$A$130,'Cadastro de BC - Servidores'!$T$14:$T$130))</f>
        <v>0</v>
      </c>
      <c r="J30" s="355">
        <f>IF(A30="","",LOOKUP(A30,'Cadastro de BC - Servidores'!$A$14:$A$130,'Cadastro de BC - Servidores'!$AB$14:$AB$130))</f>
        <v>423.97500000000014</v>
      </c>
      <c r="K30" s="329">
        <f>IF(A30="","",LOOKUP(A30,'Cadastro de BC - Servidores'!A32:A148,'Cadastro de BC - Servidores'!AC32:AC148))</f>
        <v>0</v>
      </c>
      <c r="L30" s="356">
        <f t="shared" si="0"/>
        <v>423.97500000000014</v>
      </c>
      <c r="M30" s="357"/>
      <c r="N30" s="355">
        <f t="shared" si="1"/>
        <v>2291.0249999999996</v>
      </c>
      <c r="O30" s="315">
        <f t="shared" si="3"/>
        <v>15</v>
      </c>
    </row>
    <row r="31" spans="1:15" x14ac:dyDescent="0.2">
      <c r="A31" s="274">
        <v>44</v>
      </c>
      <c r="B31" s="353" t="str">
        <f>IF(A31="","",LOOKUP($A31,'Cadastro de BC - Servidores'!A35:B150))</f>
        <v>Sonia Maria Soares Andrade</v>
      </c>
      <c r="C31" s="354" t="str">
        <f>IF(A31="","",LOOKUP(A31,'Cadastro de BC - Servidores'!A33:A149,'Cadastro de BC - Servidores'!H33:H149))</f>
        <v>308.146-0</v>
      </c>
      <c r="D31" s="329" t="str">
        <f>IF(A31="","",LOOKUP(A31,'Cadastro de BC - Servidores'!A33:A149,'Cadastro de BC - Servidores'!I33:I149))</f>
        <v>423.791.995-15</v>
      </c>
      <c r="E31" s="329" t="str">
        <f>IF(A31="","",LOOKUP(A31,'Cadastro de BC - Servidores'!A33:A149,'Cadastro de BC - Servidores'!J33:J149))</f>
        <v>047/029</v>
      </c>
      <c r="F31" s="354" t="str">
        <f>IF(A31="","",LOOKUP(A31,'Cadastro de BC - Servidores'!A33:A149,'Cadastro de BC - Servidores'!K33:K149))</f>
        <v>000955-6</v>
      </c>
      <c r="G31" s="401">
        <f>IF(A31="","",LOOKUP(A31,'Cadastro de BC - Servidores'!A33:A149,'Cadastro de BC - Servidores'!L33:L149))</f>
        <v>0.65</v>
      </c>
      <c r="H31" s="355">
        <f>IF(A31="","",LOOKUP(A31,'Cadastro de BC - Servidores'!$A$14:$A$130,'Cadastro de BC - Servidores'!$O$14:$O$130))</f>
        <v>1176.5</v>
      </c>
      <c r="I31" s="356">
        <f>IF(A31="","",LOOKUP(A31,'Cadastro de BC - Servidores'!$A$14:$A$130,'Cadastro de BC - Servidores'!$T$14:$T$130))</f>
        <v>0</v>
      </c>
      <c r="J31" s="355">
        <f>IF(A31="","",LOOKUP(A31,'Cadastro de BC - Servidores'!$A$14:$A$130,'Cadastro de BC - Servidores'!$AB$14:$AB$130))</f>
        <v>323.53749999999991</v>
      </c>
      <c r="K31" s="329">
        <f>IF(A31="","",LOOKUP(A31,'Cadastro de BC - Servidores'!A33:A149,'Cadastro de BC - Servidores'!AC33:AC149))</f>
        <v>0</v>
      </c>
      <c r="L31" s="356">
        <f t="shared" si="0"/>
        <v>323.53749999999991</v>
      </c>
      <c r="M31" s="357"/>
      <c r="N31" s="355">
        <f t="shared" si="1"/>
        <v>852.96250000000009</v>
      </c>
      <c r="O31" s="315">
        <f t="shared" si="3"/>
        <v>16</v>
      </c>
    </row>
    <row r="32" spans="1:15" x14ac:dyDescent="0.2">
      <c r="A32" s="274">
        <v>47</v>
      </c>
      <c r="B32" s="353" t="str">
        <f>IF(A32="","",LOOKUP($A32,'Cadastro de BC - Servidores'!A38:B153))</f>
        <v>Wando Ribeiro dos Santos</v>
      </c>
      <c r="C32" s="354">
        <f>IF(A32="","",LOOKUP(A32,'Cadastro de BC - Servidores'!A35:A151,'Cadastro de BC - Servidores'!H35:H151))</f>
        <v>1362708</v>
      </c>
      <c r="D32" s="329" t="str">
        <f>IF(A32="","",LOOKUP(A32,'Cadastro de BC - Servidores'!A35:A151,'Cadastro de BC - Servidores'!I35:I151))</f>
        <v>008.541.795-50</v>
      </c>
      <c r="E32" s="329" t="str">
        <f>IF(A32="","",LOOKUP(A32,'Cadastro de BC - Servidores'!A35:A151,'Cadastro de BC - Servidores'!J35:J151))</f>
        <v>047/065</v>
      </c>
      <c r="F32" s="354" t="str">
        <f>IF(A32="","",LOOKUP(A32,'Cadastro de BC - Servidores'!A35:A151,'Cadastro de BC - Servidores'!K35:K151))</f>
        <v>008061-3</v>
      </c>
      <c r="G32" s="402">
        <f>IF(A32="","",LOOKUP(A32,'Cadastro de BC - Servidores'!A35:A151,'Cadastro de BC - Servidores'!L35:L151))</f>
        <v>1.5</v>
      </c>
      <c r="H32" s="355">
        <f>IF(A32="","",LOOKUP(A32,'Cadastro de BC - Servidores'!$A$14:$A$130,'Cadastro de BC - Servidores'!$O$14:$O$130))</f>
        <v>2715</v>
      </c>
      <c r="I32" s="356">
        <f>IF(A32="","",LOOKUP(A32,'Cadastro de BC - Servidores'!$A$14:$A$130,'Cadastro de BC - Servidores'!$T$14:$T$130))</f>
        <v>0</v>
      </c>
      <c r="J32" s="355">
        <f>IF(A32="","",LOOKUP(A32,'Cadastro de BC - Servidores'!$A$14:$A$130,'Cadastro de BC - Servidores'!$AB$14:$AB$130))</f>
        <v>713.75550000000021</v>
      </c>
      <c r="K32" s="329">
        <f>IF(A32="","",LOOKUP(A32,'Cadastro de BC - Servidores'!A35:A151,'Cadastro de BC - Servidores'!AC35:AC151))</f>
        <v>0</v>
      </c>
      <c r="L32" s="356">
        <f t="shared" si="0"/>
        <v>713.75550000000021</v>
      </c>
      <c r="M32" s="357"/>
      <c r="N32" s="355">
        <f t="shared" si="1"/>
        <v>2001.2444999999998</v>
      </c>
      <c r="O32" s="315">
        <f t="shared" si="3"/>
        <v>17</v>
      </c>
    </row>
    <row r="33" spans="1:19" ht="14.85" customHeight="1" x14ac:dyDescent="0.2">
      <c r="A33" s="274">
        <v>74</v>
      </c>
      <c r="B33" s="353" t="str">
        <f>IF(A33="","",LOOKUP($A33,'Cadastro de BC - Servidores'!A39:B154))</f>
        <v>Manoel Luiz de Andrade</v>
      </c>
      <c r="C33" s="354">
        <f>IF(A33="","",LOOKUP(A33,'Cadastro de BC - Servidores'!A36:A152,'Cadastro de BC - Servidores'!H36:H152))</f>
        <v>508219</v>
      </c>
      <c r="D33" s="329" t="str">
        <f>IF(A33="","",LOOKUP(A33,'Cadastro de BC - Servidores'!A36:A152,'Cadastro de BC - Servidores'!I36:I152))</f>
        <v>170.238.075-00</v>
      </c>
      <c r="E33" s="329" t="str">
        <f>IF(A33="","",LOOKUP(A33,'Cadastro de BC - Servidores'!A36:A152,'Cadastro de BC - Servidores'!J36:J152))</f>
        <v>047/014</v>
      </c>
      <c r="F33" s="354" t="str">
        <f>IF(A33="","",LOOKUP(A33,'Cadastro de BC - Servidores'!A36:A152,'Cadastro de BC - Servidores'!K36:K152))</f>
        <v>27129-3</v>
      </c>
      <c r="G33" s="401">
        <f>IF(A33="","",LOOKUP(A33,'Cadastro de BC - Servidores'!A36:A152,'Cadastro de BC - Servidores'!L36:L152))</f>
        <v>0.41</v>
      </c>
      <c r="H33" s="355">
        <f>IF(A33="","",LOOKUP(A33,'Cadastro de BC - Servidores'!$A$14:$A$130,'Cadastro de BC - Servidores'!$O$14:$O$130))</f>
        <v>742.09999999999991</v>
      </c>
      <c r="I33" s="356">
        <f>IF(A33="","",LOOKUP(A33,'Cadastro de BC - Servidores'!$A$14:$A$130,'Cadastro de BC - Servidores'!$T$14:$T$130))</f>
        <v>0</v>
      </c>
      <c r="J33" s="355">
        <f>IF(A33="","",LOOKUP(A33,'Cadastro de BC - Servidores'!$A$14:$A$130,'Cadastro de BC - Servidores'!$AB$14:$AB$130))</f>
        <v>204.07750000000033</v>
      </c>
      <c r="K33" s="329">
        <f>IF(A33="","",LOOKUP(A33,'Cadastro de BC - Servidores'!A36:A152,'Cadastro de BC - Servidores'!AC36:AC152))</f>
        <v>0</v>
      </c>
      <c r="L33" s="356">
        <f t="shared" si="0"/>
        <v>204.07750000000033</v>
      </c>
      <c r="M33" s="357"/>
      <c r="N33" s="355">
        <f t="shared" si="1"/>
        <v>538.02249999999958</v>
      </c>
      <c r="O33" s="315">
        <f t="shared" si="3"/>
        <v>18</v>
      </c>
      <c r="S33" s="92">
        <f>H34</f>
        <v>31765.5</v>
      </c>
    </row>
    <row r="34" spans="1:19" x14ac:dyDescent="0.2">
      <c r="A34" s="618" t="s">
        <v>457</v>
      </c>
      <c r="B34" s="619"/>
      <c r="C34" s="619"/>
      <c r="D34" s="619"/>
      <c r="E34" s="619"/>
      <c r="F34" s="619"/>
      <c r="G34" s="620"/>
      <c r="H34" s="358">
        <f t="shared" ref="H34:N34" si="4">SUM(H16:H33)</f>
        <v>31765.5</v>
      </c>
      <c r="I34" s="358">
        <f t="shared" si="4"/>
        <v>0</v>
      </c>
      <c r="J34" s="358">
        <f t="shared" si="4"/>
        <v>6940.5630000000019</v>
      </c>
      <c r="K34" s="358">
        <f t="shared" si="4"/>
        <v>0</v>
      </c>
      <c r="L34" s="358">
        <f t="shared" si="4"/>
        <v>6940.5630000000019</v>
      </c>
      <c r="M34" s="358">
        <f t="shared" si="4"/>
        <v>0</v>
      </c>
      <c r="N34" s="358">
        <f t="shared" si="4"/>
        <v>24824.936999999998</v>
      </c>
      <c r="O34" s="387"/>
    </row>
    <row r="35" spans="1:19" x14ac:dyDescent="0.2">
      <c r="A35" s="315"/>
      <c r="B35" s="315"/>
      <c r="C35" s="315"/>
      <c r="D35" s="315"/>
      <c r="E35" s="315"/>
      <c r="F35" s="315"/>
      <c r="G35" s="315"/>
      <c r="H35" s="315"/>
      <c r="I35" s="315"/>
      <c r="J35" s="315"/>
      <c r="K35" s="315"/>
      <c r="L35" s="315"/>
      <c r="M35" s="315"/>
      <c r="N35" s="315"/>
      <c r="O35" s="387"/>
    </row>
    <row r="36" spans="1:19" ht="15" customHeight="1" x14ac:dyDescent="0.2">
      <c r="A36" s="613"/>
      <c r="B36" s="613"/>
      <c r="C36" s="613"/>
      <c r="D36" s="613"/>
      <c r="E36" s="613"/>
      <c r="F36" s="613"/>
      <c r="G36" s="613"/>
      <c r="H36" s="613"/>
      <c r="I36" s="613"/>
      <c r="J36" s="613"/>
      <c r="K36" s="613"/>
      <c r="L36" s="613"/>
      <c r="M36" s="613"/>
      <c r="N36" s="613"/>
      <c r="O36" s="613"/>
    </row>
    <row r="37" spans="1:19" x14ac:dyDescent="0.2">
      <c r="A37" s="621"/>
      <c r="B37" s="621"/>
      <c r="C37" s="621"/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387"/>
    </row>
    <row r="38" spans="1:19" x14ac:dyDescent="0.2">
      <c r="A38" s="315"/>
      <c r="B38" s="315"/>
      <c r="C38" s="315"/>
      <c r="D38" s="315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87"/>
    </row>
    <row r="39" spans="1:19" x14ac:dyDescent="0.2">
      <c r="A39" s="315"/>
      <c r="B39" s="315"/>
      <c r="C39" s="315"/>
      <c r="D39" s="315"/>
      <c r="E39" s="315"/>
      <c r="F39" s="315"/>
      <c r="G39" s="315"/>
      <c r="H39" s="315"/>
      <c r="I39" s="315"/>
      <c r="J39" s="315"/>
      <c r="K39" s="315"/>
      <c r="L39" s="315"/>
      <c r="M39" s="315"/>
      <c r="N39" s="315"/>
      <c r="O39" s="387"/>
    </row>
    <row r="40" spans="1:19" x14ac:dyDescent="0.2">
      <c r="A40" s="315"/>
      <c r="B40" s="315"/>
      <c r="C40" s="315"/>
      <c r="D40" s="315"/>
      <c r="E40" s="315"/>
      <c r="F40" s="315"/>
      <c r="G40" s="315"/>
      <c r="H40" s="315"/>
      <c r="I40" s="315"/>
      <c r="J40" s="315"/>
      <c r="K40" s="315"/>
      <c r="L40" s="315"/>
      <c r="M40" s="315"/>
      <c r="N40" s="315"/>
      <c r="O40" s="387"/>
    </row>
    <row r="41" spans="1:19" x14ac:dyDescent="0.2">
      <c r="A41" s="315"/>
      <c r="B41" s="315"/>
      <c r="C41" s="315"/>
      <c r="D41" s="315"/>
      <c r="E41" s="315"/>
      <c r="F41" s="315"/>
      <c r="G41" s="315"/>
      <c r="H41" s="315"/>
      <c r="I41" s="315"/>
      <c r="J41" s="315"/>
      <c r="K41" s="315"/>
      <c r="L41" s="315"/>
      <c r="M41" s="315"/>
      <c r="N41" s="315"/>
      <c r="O41" s="387"/>
    </row>
    <row r="42" spans="1:19" x14ac:dyDescent="0.2">
      <c r="A42" s="315"/>
      <c r="B42" s="315"/>
      <c r="C42" s="315"/>
      <c r="D42" s="315"/>
      <c r="E42" s="315"/>
      <c r="F42" s="315"/>
      <c r="G42" s="315"/>
      <c r="H42" s="315"/>
      <c r="I42" s="315"/>
      <c r="J42" s="315"/>
      <c r="K42" s="315"/>
      <c r="L42" s="315"/>
      <c r="M42" s="315"/>
      <c r="N42" s="315"/>
      <c r="O42" s="387"/>
    </row>
    <row r="43" spans="1:19" x14ac:dyDescent="0.2">
      <c r="A43" s="315"/>
      <c r="B43" s="315"/>
      <c r="C43" s="315"/>
      <c r="D43" s="315"/>
      <c r="E43" s="315"/>
      <c r="F43" s="315"/>
      <c r="G43" s="315"/>
      <c r="H43" s="315"/>
      <c r="I43" s="315"/>
      <c r="J43" s="315"/>
      <c r="K43" s="315"/>
      <c r="L43" s="315"/>
      <c r="M43" s="315"/>
      <c r="N43" s="315"/>
      <c r="O43" s="387"/>
    </row>
    <row r="44" spans="1:19" x14ac:dyDescent="0.2">
      <c r="A44" s="315"/>
      <c r="B44" s="315"/>
      <c r="C44" s="315"/>
      <c r="D44" s="315"/>
      <c r="E44" s="315"/>
      <c r="F44" s="315"/>
      <c r="G44" s="315"/>
      <c r="H44" s="315"/>
      <c r="I44" s="315"/>
      <c r="J44" s="315"/>
      <c r="K44" s="315"/>
      <c r="L44" s="315"/>
      <c r="M44" s="315"/>
      <c r="N44" s="315"/>
      <c r="O44" s="387"/>
    </row>
    <row r="45" spans="1:19" x14ac:dyDescent="0.2">
      <c r="A45" s="315"/>
      <c r="B45" s="315"/>
      <c r="C45" s="315"/>
      <c r="D45" s="315"/>
      <c r="E45" s="315"/>
      <c r="F45" s="315"/>
      <c r="G45" s="315"/>
      <c r="H45" s="315"/>
      <c r="I45" s="315"/>
      <c r="J45" s="315"/>
      <c r="K45" s="315"/>
      <c r="L45" s="315"/>
      <c r="M45" s="315"/>
      <c r="N45" s="315"/>
      <c r="O45" s="387"/>
    </row>
    <row r="46" spans="1:19" x14ac:dyDescent="0.2">
      <c r="A46" s="315"/>
      <c r="B46" s="315"/>
      <c r="C46" s="315"/>
      <c r="D46" s="315"/>
      <c r="E46" s="315"/>
      <c r="F46" s="315"/>
      <c r="G46" s="315"/>
      <c r="H46" s="315"/>
      <c r="I46" s="315"/>
      <c r="J46" s="315"/>
      <c r="K46" s="315"/>
      <c r="L46" s="315"/>
      <c r="M46" s="315"/>
      <c r="N46" s="315"/>
      <c r="O46" s="387"/>
    </row>
    <row r="47" spans="1:19" x14ac:dyDescent="0.2">
      <c r="A47" s="315"/>
      <c r="B47" s="315"/>
      <c r="C47" s="315"/>
      <c r="D47" s="315"/>
      <c r="E47" s="315"/>
      <c r="F47" s="315"/>
      <c r="G47" s="315"/>
      <c r="H47" s="315"/>
      <c r="I47" s="315"/>
      <c r="J47" s="315"/>
      <c r="K47" s="315"/>
      <c r="L47" s="315"/>
      <c r="M47" s="315"/>
      <c r="N47" s="315"/>
      <c r="O47" s="387"/>
    </row>
  </sheetData>
  <mergeCells count="17">
    <mergeCell ref="A34:G34"/>
    <mergeCell ref="A36:O36"/>
    <mergeCell ref="A37:N37"/>
    <mergeCell ref="A9:N9"/>
    <mergeCell ref="A10:N10"/>
    <mergeCell ref="D12:F12"/>
    <mergeCell ref="G12:H12"/>
    <mergeCell ref="A14:H14"/>
    <mergeCell ref="I14:L14"/>
    <mergeCell ref="M14:M15"/>
    <mergeCell ref="N14:N15"/>
    <mergeCell ref="A15:B15"/>
    <mergeCell ref="A2:N2"/>
    <mergeCell ref="A3:N3"/>
    <mergeCell ref="A4:N4"/>
    <mergeCell ref="A5:N5"/>
    <mergeCell ref="A7:N7"/>
  </mergeCells>
  <pageMargins left="0.17013900000000001" right="0.17013900000000001" top="0.220139" bottom="0.2" header="0.51180599999999998" footer="0.51180599999999998"/>
  <pageSetup paperSize="9" scale="8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2"/>
  <sheetViews>
    <sheetView showGridLines="0" topLeftCell="A37" workbookViewId="0">
      <selection activeCell="O41" sqref="O41"/>
    </sheetView>
  </sheetViews>
  <sheetFormatPr defaultRowHeight="15" x14ac:dyDescent="0.25"/>
  <cols>
    <col min="1" max="1" width="4" customWidth="1"/>
    <col min="2" max="2" width="34.140625" customWidth="1"/>
    <col min="3" max="3" width="14.28515625" customWidth="1"/>
    <col min="4" max="4" width="17.28515625" customWidth="1"/>
    <col min="6" max="6" width="13.5703125" bestFit="1" customWidth="1"/>
    <col min="7" max="7" width="6" customWidth="1"/>
    <col min="8" max="8" width="11.28515625" bestFit="1" customWidth="1"/>
    <col min="9" max="9" width="10.140625" bestFit="1" customWidth="1"/>
    <col min="10" max="10" width="10.140625" customWidth="1"/>
    <col min="12" max="12" width="8.140625" customWidth="1"/>
    <col min="13" max="13" width="10.140625" customWidth="1"/>
    <col min="14" max="14" width="10.42578125" customWidth="1"/>
    <col min="15" max="15" width="11.42578125" customWidth="1"/>
    <col min="16" max="16" width="9.140625" style="86" customWidth="1"/>
    <col min="19" max="19" width="10.140625" customWidth="1"/>
  </cols>
  <sheetData>
    <row r="1" spans="1:16" x14ac:dyDescent="0.25">
      <c r="A1" s="359"/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1"/>
      <c r="P1" s="396"/>
    </row>
    <row r="2" spans="1:16" ht="15.75" x14ac:dyDescent="0.25">
      <c r="A2" s="627" t="s">
        <v>0</v>
      </c>
      <c r="B2" s="627"/>
      <c r="C2" s="627"/>
      <c r="D2" s="627"/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627"/>
      <c r="P2" s="396"/>
    </row>
    <row r="3" spans="1:16" x14ac:dyDescent="0.25">
      <c r="A3" s="628" t="s">
        <v>1</v>
      </c>
      <c r="B3" s="628"/>
      <c r="C3" s="628"/>
      <c r="D3" s="628"/>
      <c r="E3" s="628"/>
      <c r="F3" s="628"/>
      <c r="G3" s="628"/>
      <c r="H3" s="628"/>
      <c r="I3" s="628"/>
      <c r="J3" s="628"/>
      <c r="K3" s="628"/>
      <c r="L3" s="628"/>
      <c r="M3" s="628"/>
      <c r="N3" s="628"/>
      <c r="O3" s="628"/>
      <c r="P3" s="396"/>
    </row>
    <row r="4" spans="1:16" x14ac:dyDescent="0.25">
      <c r="A4" s="629" t="s">
        <v>2</v>
      </c>
      <c r="B4" s="629"/>
      <c r="C4" s="629"/>
      <c r="D4" s="629"/>
      <c r="E4" s="629"/>
      <c r="F4" s="629"/>
      <c r="G4" s="629"/>
      <c r="H4" s="629"/>
      <c r="I4" s="629"/>
      <c r="J4" s="629"/>
      <c r="K4" s="629"/>
      <c r="L4" s="629"/>
      <c r="M4" s="629"/>
      <c r="N4" s="629"/>
      <c r="O4" s="629"/>
      <c r="P4" s="396"/>
    </row>
    <row r="5" spans="1:16" x14ac:dyDescent="0.25">
      <c r="A5" s="629" t="s">
        <v>3</v>
      </c>
      <c r="B5" s="629"/>
      <c r="C5" s="629"/>
      <c r="D5" s="629"/>
      <c r="E5" s="629"/>
      <c r="F5" s="629"/>
      <c r="G5" s="629"/>
      <c r="H5" s="629"/>
      <c r="I5" s="629"/>
      <c r="J5" s="629"/>
      <c r="K5" s="629"/>
      <c r="L5" s="629"/>
      <c r="M5" s="629"/>
      <c r="N5" s="629"/>
      <c r="O5" s="629"/>
      <c r="P5" s="396"/>
    </row>
    <row r="6" spans="1:16" x14ac:dyDescent="0.25">
      <c r="A6" s="362"/>
      <c r="B6" s="363"/>
      <c r="C6" s="363"/>
      <c r="D6" s="363"/>
      <c r="E6" s="363"/>
      <c r="F6" s="363"/>
      <c r="G6" s="363"/>
      <c r="H6" s="363"/>
      <c r="I6" s="363"/>
      <c r="J6" s="363"/>
      <c r="K6" s="363"/>
      <c r="L6" s="363"/>
      <c r="M6" s="363"/>
      <c r="N6" s="363"/>
      <c r="O6" s="364"/>
      <c r="P6" s="396"/>
    </row>
    <row r="7" spans="1:16" x14ac:dyDescent="0.25">
      <c r="A7" s="630"/>
      <c r="B7" s="630"/>
      <c r="C7" s="630"/>
      <c r="D7" s="630"/>
      <c r="E7" s="630"/>
      <c r="F7" s="630"/>
      <c r="G7" s="630"/>
      <c r="H7" s="630"/>
      <c r="I7" s="630"/>
      <c r="J7" s="630"/>
      <c r="K7" s="630"/>
      <c r="L7" s="630"/>
      <c r="M7" s="630"/>
      <c r="N7" s="630"/>
      <c r="O7" s="630"/>
      <c r="P7" s="396"/>
    </row>
    <row r="8" spans="1:16" x14ac:dyDescent="0.25">
      <c r="A8" s="631" t="s">
        <v>493</v>
      </c>
      <c r="B8" s="631"/>
      <c r="C8" s="631"/>
      <c r="D8" s="631"/>
      <c r="E8" s="631"/>
      <c r="F8" s="631"/>
      <c r="G8" s="631"/>
      <c r="H8" s="631"/>
      <c r="I8" s="631"/>
      <c r="J8" s="631"/>
      <c r="K8" s="631"/>
      <c r="L8" s="631"/>
      <c r="M8" s="631"/>
      <c r="N8" s="631"/>
      <c r="O8" s="631"/>
      <c r="P8" s="396"/>
    </row>
    <row r="9" spans="1:16" x14ac:dyDescent="0.25">
      <c r="A9" s="630" t="s">
        <v>491</v>
      </c>
      <c r="B9" s="630"/>
      <c r="C9" s="630"/>
      <c r="D9" s="630"/>
      <c r="E9" s="630"/>
      <c r="F9" s="630"/>
      <c r="G9" s="630"/>
      <c r="H9" s="630"/>
      <c r="I9" s="630"/>
      <c r="J9" s="630"/>
      <c r="K9" s="630"/>
      <c r="L9" s="630"/>
      <c r="M9" s="630"/>
      <c r="N9" s="630"/>
      <c r="O9" s="630"/>
      <c r="P9" s="396"/>
    </row>
    <row r="10" spans="1:16" x14ac:dyDescent="0.25">
      <c r="A10" s="632"/>
      <c r="B10" s="632"/>
      <c r="C10" s="632"/>
      <c r="D10" s="632"/>
      <c r="E10" s="632"/>
      <c r="F10" s="632"/>
      <c r="G10" s="632"/>
      <c r="H10" s="632"/>
      <c r="I10" s="632"/>
      <c r="J10" s="632"/>
      <c r="K10" s="632"/>
      <c r="L10" s="632"/>
      <c r="M10" s="632"/>
      <c r="N10" s="365"/>
      <c r="O10" s="366"/>
      <c r="P10" s="396"/>
    </row>
    <row r="11" spans="1:16" x14ac:dyDescent="0.25">
      <c r="A11" s="366"/>
      <c r="B11" s="367" t="s">
        <v>477</v>
      </c>
      <c r="C11" s="367"/>
      <c r="D11" s="633" t="s">
        <v>17</v>
      </c>
      <c r="E11" s="633"/>
      <c r="F11" s="633"/>
      <c r="G11" s="634">
        <f>'Cadastro de BC - Servidores'!I10</f>
        <v>181000</v>
      </c>
      <c r="H11" s="634"/>
      <c r="I11" s="368"/>
      <c r="J11" s="368"/>
      <c r="K11" s="369"/>
      <c r="L11" s="369"/>
      <c r="M11" s="369"/>
      <c r="N11" s="369"/>
      <c r="O11" s="366"/>
      <c r="P11" s="396"/>
    </row>
    <row r="12" spans="1:16" x14ac:dyDescent="0.25">
      <c r="A12" s="366"/>
      <c r="B12" s="367"/>
      <c r="C12" s="367"/>
      <c r="D12" s="367"/>
      <c r="E12" s="367"/>
      <c r="F12" s="367"/>
      <c r="G12" s="370"/>
      <c r="H12" s="368"/>
      <c r="I12" s="368"/>
      <c r="J12" s="368"/>
      <c r="K12" s="369"/>
      <c r="L12" s="369"/>
      <c r="M12" s="369"/>
      <c r="N12" s="369"/>
      <c r="O12" s="366"/>
      <c r="P12" s="396"/>
    </row>
    <row r="13" spans="1:16" x14ac:dyDescent="0.25">
      <c r="A13" s="635">
        <f>'Cadastro de BC - Servidores'!E10</f>
        <v>45839</v>
      </c>
      <c r="B13" s="635"/>
      <c r="C13" s="635"/>
      <c r="D13" s="635"/>
      <c r="E13" s="635"/>
      <c r="F13" s="635"/>
      <c r="G13" s="635"/>
      <c r="H13" s="635"/>
      <c r="I13" s="636" t="s">
        <v>478</v>
      </c>
      <c r="J13" s="637"/>
      <c r="K13" s="637"/>
      <c r="L13" s="637"/>
      <c r="M13" s="637"/>
      <c r="N13" s="638" t="s">
        <v>479</v>
      </c>
      <c r="O13" s="639" t="s">
        <v>480</v>
      </c>
      <c r="P13" s="396"/>
    </row>
    <row r="14" spans="1:16" ht="28.5" x14ac:dyDescent="0.25">
      <c r="A14" s="640" t="s">
        <v>481</v>
      </c>
      <c r="B14" s="640"/>
      <c r="C14" s="371" t="s">
        <v>482</v>
      </c>
      <c r="D14" s="372" t="s">
        <v>37</v>
      </c>
      <c r="E14" s="372" t="s">
        <v>483</v>
      </c>
      <c r="F14" s="372" t="s">
        <v>484</v>
      </c>
      <c r="G14" s="372" t="s">
        <v>40</v>
      </c>
      <c r="H14" s="373" t="s">
        <v>492</v>
      </c>
      <c r="I14" s="374" t="s">
        <v>486</v>
      </c>
      <c r="J14" s="374" t="s">
        <v>487</v>
      </c>
      <c r="K14" s="323" t="s">
        <v>488</v>
      </c>
      <c r="L14" s="375" t="s">
        <v>56</v>
      </c>
      <c r="M14" s="376" t="s">
        <v>457</v>
      </c>
      <c r="N14" s="638"/>
      <c r="O14" s="639"/>
      <c r="P14" s="396"/>
    </row>
    <row r="15" spans="1:16" ht="12.95" customHeight="1" x14ac:dyDescent="0.25">
      <c r="A15" s="274">
        <v>1</v>
      </c>
      <c r="B15" s="353" t="str">
        <f>IF(A15="","",LOOKUP($A15,'Cadastro de BC - Servidores'!A14:B130))</f>
        <v>Adailton Andre da Silva Passos</v>
      </c>
      <c r="C15" s="354" t="str">
        <f>IF(A15="","",LOOKUP(A15,'Cadastro de BC - Servidores'!$A$14:$A$130,'Cadastro de BC - Servidores'!$H$14:$H$130))</f>
        <v>20.062.014-4</v>
      </c>
      <c r="D15" s="329" t="str">
        <f>IF(A15="","",LOOKUP(A15,'Cadastro de BC - Servidores'!$A$14:$A$130,'Cadastro de BC - Servidores'!$I$14:$I$130))</f>
        <v>099.021.887-29</v>
      </c>
      <c r="E15" s="329" t="str">
        <f>IF(A15="","",LOOKUP(A15,'Cadastro de BC - Servidores'!$A$14:$A$130,'Cadastro de BC - Servidores'!$J$14:$J$130))</f>
        <v>047/050</v>
      </c>
      <c r="F15" s="354" t="str">
        <f>IF(A15="","",LOOKUP(A15,'Cadastro de BC - Servidores'!$A$14:$A$130,'Cadastro de BC - Servidores'!$K$14:$K$130))</f>
        <v>027261-1</v>
      </c>
      <c r="G15" s="329">
        <f>IF(A15="","",LOOKUP(A15,'Cadastro de BC - Servidores'!$A$14:$A$130,'Cadastro de BC - Servidores'!$L$14:$L$130))</f>
        <v>1.1499999999999999</v>
      </c>
      <c r="H15" s="377">
        <f>IF(A15="","",LOOKUP(A15,'Cadastro de BC - Servidores'!$A$14:$A$130,'Cadastro de BC - Servidores'!$O$14:$O$130))</f>
        <v>2081.5</v>
      </c>
      <c r="I15" s="356">
        <f>IF(A15="","",LOOKUP(A15,'Cadastro de BC - Servidores'!$A$14:$A$130,'Cadastro de BC - Servidores'!$T$14:$T$130))</f>
        <v>164.56499999999997</v>
      </c>
      <c r="J15" s="378">
        <f>IF(A15="","",LOOKUP(A15,'Cadastro de BC - Servidores'!$A$14:$A$130,'Cadastro de BC - Servidores'!$AB$14:$AB$130))</f>
        <v>0</v>
      </c>
      <c r="K15" s="379">
        <f>IF(A15="","",LOOKUP(A15,'Cadastro de BC - Servidores'!$A$14:$A$130,'Cadastro de BC - Servidores'!$AC$14:$AC$130))</f>
        <v>0</v>
      </c>
      <c r="L15" s="379">
        <f>IF(A15="","",LOOKUP(A15,'Cadastro de BC - Servidores'!$A$14:$A$130,'Cadastro de BC - Servidores'!$AD$14:$AD$130))</f>
        <v>0</v>
      </c>
      <c r="M15" s="380">
        <f t="shared" ref="M15:M55" si="0">I15+J15+L15+K15</f>
        <v>164.56499999999997</v>
      </c>
      <c r="N15" s="379">
        <f>IF(A15="","",LOOKUP(A15,'Cadastro de BC - Servidores'!$A$14:$A$130,'Cadastro de BC - Servidores'!$AE$14:$AE$130))</f>
        <v>0</v>
      </c>
      <c r="O15" s="381">
        <f t="shared" ref="O15:O55" si="1">H15-M15+N15</f>
        <v>1916.9349999999999</v>
      </c>
      <c r="P15" s="396">
        <v>1</v>
      </c>
    </row>
    <row r="16" spans="1:16" ht="12.95" customHeight="1" x14ac:dyDescent="0.25">
      <c r="A16" s="274">
        <v>2</v>
      </c>
      <c r="B16" s="353" t="str">
        <f>IF(A16="","",LOOKUP($A16,'Cadastro de BC - Servidores'!A15:B131))</f>
        <v>Amanda Brás Rocha</v>
      </c>
      <c r="C16" s="354">
        <f>IF(A16="","",LOOKUP(A16,'Cadastro de BC - Servidores'!$A$14:$A$130,'Cadastro de BC - Servidores'!$H$14:$H$130))</f>
        <v>1320315</v>
      </c>
      <c r="D16" s="329" t="str">
        <f>IF(A16="","",LOOKUP(A16,'Cadastro de BC - Servidores'!$A$14:$A$130,'Cadastro de BC - Servidores'!$I$14:$I$130))</f>
        <v>533.976.065-00</v>
      </c>
      <c r="E16" s="329" t="str">
        <f>IF(A16="","",LOOKUP(A16,'Cadastro de BC - Servidores'!$A$14:$A$130,'Cadastro de BC - Servidores'!$J$14:$J$130))</f>
        <v>047/043</v>
      </c>
      <c r="F16" s="354" t="str">
        <f>IF(A16="","",LOOKUP(A16,'Cadastro de BC - Servidores'!$A$14:$A$130,'Cadastro de BC - Servidores'!$K$14:$K$130))</f>
        <v>018.945-2</v>
      </c>
      <c r="G16" s="329">
        <f>IF(A16="","",LOOKUP(A16,'Cadastro de BC - Servidores'!$A$14:$A$130,'Cadastro de BC - Servidores'!$L$14:$L$130))</f>
        <v>1.45</v>
      </c>
      <c r="H16" s="377">
        <f>IF(A16="","",LOOKUP(A16,'Cadastro de BC - Servidores'!$A$14:$A$130,'Cadastro de BC - Servidores'!$O$14:$O$130))</f>
        <v>2624.5</v>
      </c>
      <c r="I16" s="356">
        <f>IF(A16="","",LOOKUP(A16,'Cadastro de BC - Servidores'!$A$14:$A$130,'Cadastro de BC - Servidores'!$T$14:$T$130))</f>
        <v>276.66000000000003</v>
      </c>
      <c r="J16" s="378">
        <f>IF(A16="","",LOOKUP(A16,'Cadastro de BC - Servidores'!$A$14:$A$130,'Cadastro de BC - Servidores'!$AB$14:$AB$130))</f>
        <v>168.70775000000003</v>
      </c>
      <c r="K16" s="379">
        <f>IF(A16="","",LOOKUP(A16,'Cadastro de BC - Servidores'!$A$14:$A$130,'Cadastro de BC - Servidores'!$AC$14:$AC$130))</f>
        <v>0</v>
      </c>
      <c r="L16" s="379">
        <f>IF(A16="","",LOOKUP(A16,'Cadastro de BC - Servidores'!$A$14:$A$130,'Cadastro de BC - Servidores'!$AD$14:$AD$130))</f>
        <v>0</v>
      </c>
      <c r="M16" s="380">
        <f t="shared" si="0"/>
        <v>445.36775000000006</v>
      </c>
      <c r="N16" s="379">
        <f>IF(A16="","",LOOKUP(A16,'Cadastro de BC - Servidores'!$A$14:$A$130,'Cadastro de BC - Servidores'!$AE$14:$AE$130))</f>
        <v>0</v>
      </c>
      <c r="O16" s="381">
        <f t="shared" si="1"/>
        <v>2179.1322500000001</v>
      </c>
      <c r="P16" s="396">
        <f t="shared" ref="P16:P32" si="2">P15+1</f>
        <v>2</v>
      </c>
    </row>
    <row r="17" spans="1:16" ht="12.95" customHeight="1" x14ac:dyDescent="0.25">
      <c r="A17" s="274">
        <v>3</v>
      </c>
      <c r="B17" s="353" t="str">
        <f>IF(A17="","",LOOKUP($A17,'Cadastro de BC - Servidores'!A16:B132))</f>
        <v>Eloiza Karoline Alves Santos</v>
      </c>
      <c r="C17" s="354" t="str">
        <f>IF(A17="","",LOOKUP(A17,'Cadastro de BC - Servidores'!$A$14:$A$130,'Cadastro de BC - Servidores'!$H$14:$H$130))</f>
        <v>3.485.422-3</v>
      </c>
      <c r="D17" s="329" t="str">
        <f>IF(A17="","",LOOKUP(A17,'Cadastro de BC - Servidores'!$A$14:$A$130,'Cadastro de BC - Servidores'!$I$14:$I$130))</f>
        <v>056.024.795-89</v>
      </c>
      <c r="E17" s="329" t="str">
        <f>IF(A17="","",LOOKUP(A17,'Cadastro de BC - Servidores'!$A$14:$A$130,'Cadastro de BC - Servidores'!$J$14:$J$130))</f>
        <v>047/067</v>
      </c>
      <c r="F17" s="354" t="str">
        <f>IF(A17="","",LOOKUP(A17,'Cadastro de BC - Servidores'!$A$14:$A$130,'Cadastro de BC - Servidores'!$K$14:$K$130))</f>
        <v>001.827-2</v>
      </c>
      <c r="G17" s="329">
        <f>IF(A17="","",LOOKUP(A17,'Cadastro de BC - Servidores'!$A$14:$A$130,'Cadastro de BC - Servidores'!$L$14:$L$130))</f>
        <v>0.5</v>
      </c>
      <c r="H17" s="377">
        <f>IF(A17="","",LOOKUP(A17,'Cadastro de BC - Servidores'!$A$14:$A$130,'Cadastro de BC - Servidores'!$O$14:$O$130))</f>
        <v>905</v>
      </c>
      <c r="I17" s="356">
        <f>IF(A17="","",LOOKUP(A17,'Cadastro de BC - Servidores'!$A$14:$A$130,'Cadastro de BC - Servidores'!$T$14:$T$130))</f>
        <v>81.45</v>
      </c>
      <c r="J17" s="378">
        <f>IF(A17="","",LOOKUP(A17,'Cadastro de BC - Servidores'!$A$14:$A$130,'Cadastro de BC - Servidores'!$AB$14:$AB$130))</f>
        <v>0</v>
      </c>
      <c r="K17" s="379">
        <f>IF(A17="","",LOOKUP(A17,'Cadastro de BC - Servidores'!$A$14:$A$130,'Cadastro de BC - Servidores'!$AC$14:$AC$130))</f>
        <v>0</v>
      </c>
      <c r="L17" s="379">
        <f>IF(A17="","",LOOKUP(A17,'Cadastro de BC - Servidores'!$A$14:$A$130,'Cadastro de BC - Servidores'!$AD$14:$AD$130))</f>
        <v>0</v>
      </c>
      <c r="M17" s="380">
        <f t="shared" si="0"/>
        <v>81.45</v>
      </c>
      <c r="N17" s="379">
        <f>IF(A17="","",LOOKUP(A17,'Cadastro de BC - Servidores'!$A$14:$A$130,'Cadastro de BC - Servidores'!$AE$14:$AE$130))</f>
        <v>0</v>
      </c>
      <c r="O17" s="381">
        <f t="shared" si="1"/>
        <v>823.55</v>
      </c>
      <c r="P17" s="396">
        <f t="shared" si="2"/>
        <v>3</v>
      </c>
    </row>
    <row r="18" spans="1:16" ht="12.95" customHeight="1" x14ac:dyDescent="0.25">
      <c r="A18" s="274">
        <v>4</v>
      </c>
      <c r="B18" s="353" t="str">
        <f>IF(A18="","",LOOKUP($A18,'Cadastro de BC - Servidores'!A17:B133))</f>
        <v>Edvânia Monteiro da Silva</v>
      </c>
      <c r="C18" s="354" t="str">
        <f>IF(A18="","",LOOKUP(A18,'Cadastro de BC - Servidores'!$A$14:$A$130,'Cadastro de BC - Servidores'!$H$14:$H$130))</f>
        <v>3.107.621-1</v>
      </c>
      <c r="D18" s="329" t="str">
        <f>IF(A18="","",LOOKUP(A18,'Cadastro de BC - Servidores'!$A$14:$A$130,'Cadastro de BC - Servidores'!$I$14:$I$130))</f>
        <v>005.294.645-27</v>
      </c>
      <c r="E18" s="329" t="str">
        <f>IF(A18="","",LOOKUP(A18,'Cadastro de BC - Servidores'!$A$14:$A$130,'Cadastro de BC - Servidores'!$J$14:$J$130))</f>
        <v>047/029</v>
      </c>
      <c r="F18" s="354" t="str">
        <f>IF(A18="","",LOOKUP(A18,'Cadastro de BC - Servidores'!$A$14:$A$130,'Cadastro de BC - Servidores'!$K$14:$K$130))</f>
        <v>02/200.213-6</v>
      </c>
      <c r="G18" s="329">
        <f>IF(A18="","",LOOKUP(A18,'Cadastro de BC - Servidores'!$A$14:$A$130,'Cadastro de BC - Servidores'!$L$14:$L$130))</f>
        <v>1.1499999999999999</v>
      </c>
      <c r="H18" s="377">
        <f>IF(A18="","",LOOKUP(A18,'Cadastro de BC - Servidores'!$A$14:$A$130,'Cadastro de BC - Servidores'!$O$14:$O$130))</f>
        <v>2081.5</v>
      </c>
      <c r="I18" s="356">
        <f>IF(A18="","",LOOKUP(A18,'Cadastro de BC - Servidores'!$A$14:$A$130,'Cadastro de BC - Servidores'!$T$14:$T$130))</f>
        <v>211.50000000000006</v>
      </c>
      <c r="J18" s="378">
        <f>IF(A18="","",LOOKUP(A18,'Cadastro de BC - Servidores'!$A$14:$A$130,'Cadastro de BC - Servidores'!$AB$14:$AB$130))</f>
        <v>96.962499999999977</v>
      </c>
      <c r="K18" s="379">
        <f>IF(A18="","",LOOKUP(A18,'Cadastro de BC - Servidores'!$A$14:$A$130,'Cadastro de BC - Servidores'!$AC$14:$AC$130))</f>
        <v>0</v>
      </c>
      <c r="L18" s="379">
        <f>IF(A18="","",LOOKUP(A18,'Cadastro de BC - Servidores'!$A$14:$A$130,'Cadastro de BC - Servidores'!$AD$14:$AD$130))</f>
        <v>0</v>
      </c>
      <c r="M18" s="380">
        <f t="shared" si="0"/>
        <v>308.46250000000003</v>
      </c>
      <c r="N18" s="379">
        <f>IF(A18="","",LOOKUP(A18,'Cadastro de BC - Servidores'!$A$14:$A$130,'Cadastro de BC - Servidores'!$AE$14:$AE$130))</f>
        <v>0</v>
      </c>
      <c r="O18" s="381">
        <f t="shared" si="1"/>
        <v>1773.0374999999999</v>
      </c>
      <c r="P18" s="396">
        <f t="shared" si="2"/>
        <v>4</v>
      </c>
    </row>
    <row r="19" spans="1:16" ht="12.95" customHeight="1" x14ac:dyDescent="0.25">
      <c r="A19" s="274">
        <v>5</v>
      </c>
      <c r="B19" s="353" t="str">
        <f>IF(A19="","",LOOKUP($A19,'Cadastro de BC - Servidores'!A18:B134))</f>
        <v>Cinthia Rodrigues Neto</v>
      </c>
      <c r="C19" s="354">
        <f>IF(A19="","",LOOKUP(A19,'Cadastro de BC - Servidores'!$A$14:$A$130,'Cadastro de BC - Servidores'!$H$14:$H$130))</f>
        <v>1441737</v>
      </c>
      <c r="D19" s="329" t="str">
        <f>IF(A19="","",LOOKUP(A19,'Cadastro de BC - Servidores'!$A$14:$A$130,'Cadastro de BC - Servidores'!$I$14:$I$130))</f>
        <v>812.356.825-87</v>
      </c>
      <c r="E19" s="329" t="str">
        <f>IF(A19="","",LOOKUP(A19,'Cadastro de BC - Servidores'!$A$14:$A$130,'Cadastro de BC - Servidores'!$J$14:$J$130))</f>
        <v>047/029</v>
      </c>
      <c r="F19" s="354">
        <f>IF(A19="","",LOOKUP(A19,'Cadastro de BC - Servidores'!$A$14:$A$130,'Cadastro de BC - Servidores'!$K$14:$K$130))</f>
        <v>416380</v>
      </c>
      <c r="G19" s="329">
        <f>IF(A19="","",LOOKUP(A19,'Cadastro de BC - Servidores'!$A$14:$A$130,'Cadastro de BC - Servidores'!$L$14:$L$130))</f>
        <v>1.5</v>
      </c>
      <c r="H19" s="377">
        <f>IF(A19="","",LOOKUP(A19,'Cadastro de BC - Servidores'!$A$14:$A$130,'Cadastro de BC - Servidores'!$O$14:$O$130))</f>
        <v>2715</v>
      </c>
      <c r="I19" s="356">
        <f>IF(A19="","",LOOKUP(A19,'Cadastro de BC - Servidores'!$A$14:$A$130,'Cadastro de BC - Servidores'!$T$14:$T$130))</f>
        <v>288.37000000000006</v>
      </c>
      <c r="J19" s="378">
        <f>IF(A19="","",LOOKUP(A19,'Cadastro de BC - Servidores'!$A$14:$A$130,'Cadastro de BC - Servidores'!$AB$14:$AB$130))</f>
        <v>186.43550000000005</v>
      </c>
      <c r="K19" s="379">
        <f>IF(A19="","",LOOKUP(A19,'Cadastro de BC - Servidores'!$A$14:$A$130,'Cadastro de BC - Servidores'!$AC$14:$AC$130))</f>
        <v>0</v>
      </c>
      <c r="L19" s="379">
        <f>IF(A19="","",LOOKUP(A19,'Cadastro de BC - Servidores'!$A$14:$A$130,'Cadastro de BC - Servidores'!$AD$14:$AD$130))</f>
        <v>0</v>
      </c>
      <c r="M19" s="380">
        <f t="shared" si="0"/>
        <v>474.80550000000011</v>
      </c>
      <c r="N19" s="379">
        <f>IF(A19="","",LOOKUP(A19,'Cadastro de BC - Servidores'!$A$14:$A$130,'Cadastro de BC - Servidores'!$AE$14:$AE$130))</f>
        <v>0</v>
      </c>
      <c r="O19" s="381">
        <f t="shared" si="1"/>
        <v>2240.1945000000001</v>
      </c>
      <c r="P19" s="396">
        <f t="shared" si="2"/>
        <v>5</v>
      </c>
    </row>
    <row r="20" spans="1:16" ht="12.95" customHeight="1" x14ac:dyDescent="0.25">
      <c r="A20" s="274">
        <v>6</v>
      </c>
      <c r="B20" s="353" t="str">
        <f>IF(A20="","",LOOKUP($A20,'Cadastro de BC - Servidores'!A19:B135))</f>
        <v>Cristiane Barbosa Silva D. Freire</v>
      </c>
      <c r="C20" s="354">
        <f>IF(A20="","",LOOKUP(A20,'Cadastro de BC - Servidores'!$A$14:$A$130,'Cadastro de BC - Servidores'!$H$14:$H$130))</f>
        <v>1415405</v>
      </c>
      <c r="D20" s="329" t="str">
        <f>IF(A20="","",LOOKUP(A20,'Cadastro de BC - Servidores'!$A$14:$A$130,'Cadastro de BC - Servidores'!$I$14:$I$130))</f>
        <v>933.530.655-04</v>
      </c>
      <c r="E20" s="329" t="str">
        <f>IF(A20="","",LOOKUP(A20,'Cadastro de BC - Servidores'!$A$14:$A$130,'Cadastro de BC - Servidores'!$J$14:$J$130))</f>
        <v>047/050</v>
      </c>
      <c r="F20" s="354" t="str">
        <f>IF(A20="","",LOOKUP(A20,'Cadastro de BC - Servidores'!$A$14:$A$130,'Cadastro de BC - Servidores'!$K$14:$K$130))</f>
        <v>013158-9</v>
      </c>
      <c r="G20" s="329">
        <f>IF(A20="","",LOOKUP(A20,'Cadastro de BC - Servidores'!$A$14:$A$130,'Cadastro de BC - Servidores'!$L$14:$L$130))</f>
        <v>1.5</v>
      </c>
      <c r="H20" s="377">
        <f>IF(A20="","",LOOKUP(A20,'Cadastro de BC - Servidores'!$A$14:$A$130,'Cadastro de BC - Servidores'!$O$14:$O$130))</f>
        <v>2715</v>
      </c>
      <c r="I20" s="356">
        <f>IF(A20="","",LOOKUP(A20,'Cadastro de BC - Servidores'!$A$14:$A$130,'Cadastro de BC - Servidores'!$T$14:$T$130))</f>
        <v>221.57999999999998</v>
      </c>
      <c r="J20" s="378">
        <f>IF(A20="","",LOOKUP(A20,'Cadastro de BC - Servidores'!$A$14:$A$130,'Cadastro de BC - Servidores'!$AB$14:$AB$130))</f>
        <v>4.8464999999999634</v>
      </c>
      <c r="K20" s="379">
        <f>IF(A20="","",LOOKUP(A20,'Cadastro de BC - Servidores'!$A$14:$A$130,'Cadastro de BC - Servidores'!$AC$14:$AC$130))</f>
        <v>0</v>
      </c>
      <c r="L20" s="379">
        <f>IF(A20="","",LOOKUP(A20,'Cadastro de BC - Servidores'!$A$14:$A$130,'Cadastro de BC - Servidores'!$AD$14:$AD$130))</f>
        <v>0</v>
      </c>
      <c r="M20" s="380">
        <f t="shared" si="0"/>
        <v>226.42649999999995</v>
      </c>
      <c r="N20" s="379">
        <f>IF(A20="","",LOOKUP(A20,'Cadastro de BC - Servidores'!$A$14:$A$130,'Cadastro de BC - Servidores'!$AE$14:$AE$130))</f>
        <v>0</v>
      </c>
      <c r="O20" s="381">
        <f t="shared" si="1"/>
        <v>2488.5735</v>
      </c>
      <c r="P20" s="396">
        <f t="shared" si="2"/>
        <v>6</v>
      </c>
    </row>
    <row r="21" spans="1:16" ht="12.95" customHeight="1" x14ac:dyDescent="0.25">
      <c r="A21" s="274">
        <v>7</v>
      </c>
      <c r="B21" s="353" t="str">
        <f>IF(A21="","",LOOKUP($A21,'Cadastro de BC - Servidores'!A20:B136))</f>
        <v>Elba Cristiane de Souza Brandão</v>
      </c>
      <c r="C21" s="354">
        <f>IF(A21="","",LOOKUP(A21,'Cadastro de BC - Servidores'!$A$14:$A$130,'Cadastro de BC - Servidores'!$H$14:$H$130))</f>
        <v>1136343660</v>
      </c>
      <c r="D21" s="329" t="str">
        <f>IF(A21="","",LOOKUP(A21,'Cadastro de BC - Servidores'!$A$14:$A$130,'Cadastro de BC - Servidores'!$I$14:$I$130))</f>
        <v>813.110.445-15</v>
      </c>
      <c r="E21" s="329" t="str">
        <f>IF(A21="","",LOOKUP(A21,'Cadastro de BC - Servidores'!$A$14:$A$130,'Cadastro de BC - Servidores'!$J$14:$J$130))</f>
        <v>047/029</v>
      </c>
      <c r="F21" s="354" t="str">
        <f>IF(A21="","",LOOKUP(A21,'Cadastro de BC - Servidores'!$A$14:$A$130,'Cadastro de BC - Servidores'!$K$14:$K$130))</f>
        <v>044943-2</v>
      </c>
      <c r="G21" s="329">
        <f>IF(A21="","",LOOKUP(A21,'Cadastro de BC - Servidores'!$A$14:$A$130,'Cadastro de BC - Servidores'!$L$14:$L$130))</f>
        <v>1.6</v>
      </c>
      <c r="H21" s="377">
        <f>IF(A21="","",LOOKUP(A21,'Cadastro de BC - Servidores'!$A$14:$A$130,'Cadastro de BC - Servidores'!$O$14:$O$130))</f>
        <v>2896</v>
      </c>
      <c r="I21" s="356">
        <f>IF(A21="","",LOOKUP(A21,'Cadastro de BC - Servidores'!$A$14:$A$130,'Cadastro de BC - Servidores'!$T$14:$T$130))</f>
        <v>313.71000000000009</v>
      </c>
      <c r="J21" s="378">
        <f>IF(A21="","",LOOKUP(A21,'Cadastro de BC - Servidores'!$A$14:$A$130,'Cadastro de BC - Servidores'!$AB$14:$AB$130))</f>
        <v>221.45900000000006</v>
      </c>
      <c r="K21" s="379">
        <f>IF(A21="","",LOOKUP(A21,'Cadastro de BC - Servidores'!$A$14:$A$130,'Cadastro de BC - Servidores'!$AC$14:$AC$130))</f>
        <v>0</v>
      </c>
      <c r="L21" s="379">
        <f>IF(A21="","",LOOKUP(A21,'Cadastro de BC - Servidores'!$A$14:$A$130,'Cadastro de BC - Servidores'!$AD$14:$AD$130))</f>
        <v>0</v>
      </c>
      <c r="M21" s="380">
        <f t="shared" si="0"/>
        <v>535.1690000000001</v>
      </c>
      <c r="N21" s="379">
        <f>IF(A21="","",LOOKUP(A21,'Cadastro de BC - Servidores'!$A$14:$A$130,'Cadastro de BC - Servidores'!$AE$14:$AE$130))</f>
        <v>0</v>
      </c>
      <c r="O21" s="381">
        <f t="shared" si="1"/>
        <v>2360.8310000000001</v>
      </c>
      <c r="P21" s="396">
        <f t="shared" si="2"/>
        <v>7</v>
      </c>
    </row>
    <row r="22" spans="1:16" ht="12.95" customHeight="1" x14ac:dyDescent="0.25">
      <c r="A22" s="274">
        <v>8</v>
      </c>
      <c r="B22" s="353" t="str">
        <f>IF(A22="","",LOOKUP($A22,'Cadastro de BC - Servidores'!A21:B137))</f>
        <v xml:space="preserve">Anderson Breno Vasconcelos </v>
      </c>
      <c r="C22" s="354" t="str">
        <f>IF(A22="","",LOOKUP(A22,'Cadastro de BC - Servidores'!$A$14:$A$130,'Cadastro de BC - Servidores'!$H$14:$H$130))</f>
        <v>3.640.535-3</v>
      </c>
      <c r="D22" s="329" t="str">
        <f>IF(A22="","",LOOKUP(A22,'Cadastro de BC - Servidores'!$A$14:$A$130,'Cadastro de BC - Servidores'!$I$14:$I$130))</f>
        <v>067.075.405-64</v>
      </c>
      <c r="E22" s="329" t="str">
        <f>IF(A22="","",LOOKUP(A22,'Cadastro de BC - Servidores'!$A$14:$A$130,'Cadastro de BC - Servidores'!$J$14:$J$130))</f>
        <v>047/065</v>
      </c>
      <c r="F22" s="354" t="str">
        <f>IF(A22="","",LOOKUP(A22,'Cadastro de BC - Servidores'!$A$14:$A$130,'Cadastro de BC - Servidores'!$K$14:$K$130))</f>
        <v>14041-1</v>
      </c>
      <c r="G22" s="329">
        <f>IF(A22="","",LOOKUP(A22,'Cadastro de BC - Servidores'!$A$14:$A$130,'Cadastro de BC - Servidores'!$L$14:$L$130))</f>
        <v>0.8</v>
      </c>
      <c r="H22" s="377">
        <f>IF(A22="","",LOOKUP(A22,'Cadastro de BC - Servidores'!$A$14:$A$130,'Cadastro de BC - Servidores'!$O$14:$O$130))</f>
        <v>1448</v>
      </c>
      <c r="I22" s="356">
        <f>IF(A22="","",LOOKUP(A22,'Cadastro de BC - Servidores'!$A$14:$A$130,'Cadastro de BC - Servidores'!$T$14:$T$130))</f>
        <v>135.47999999999996</v>
      </c>
      <c r="J22" s="378">
        <f>IF(A22="","",LOOKUP(A22,'Cadastro de BC - Servidores'!$A$14:$A$130,'Cadastro de BC - Servidores'!$AB$14:$AB$130))</f>
        <v>21.590249999999969</v>
      </c>
      <c r="K22" s="379">
        <f>IF(A22="","",LOOKUP(A22,'Cadastro de BC - Servidores'!$A$14:$A$130,'Cadastro de BC - Servidores'!$AC$14:$AC$130))</f>
        <v>0</v>
      </c>
      <c r="L22" s="379">
        <f>IF(A22="","",LOOKUP(A22,'Cadastro de BC - Servidores'!$A$14:$A$130,'Cadastro de BC - Servidores'!$AD$14:$AD$130))</f>
        <v>0</v>
      </c>
      <c r="M22" s="380">
        <f t="shared" si="0"/>
        <v>157.07024999999993</v>
      </c>
      <c r="N22" s="379">
        <f>IF(A22="","",LOOKUP(A22,'Cadastro de BC - Servidores'!$A$14:$A$130,'Cadastro de BC - Servidores'!$AE$14:$AE$130))</f>
        <v>0</v>
      </c>
      <c r="O22" s="381">
        <f t="shared" si="1"/>
        <v>1290.92975</v>
      </c>
      <c r="P22" s="396">
        <f t="shared" si="2"/>
        <v>8</v>
      </c>
    </row>
    <row r="23" spans="1:16" ht="12.95" customHeight="1" x14ac:dyDescent="0.25">
      <c r="A23" s="274">
        <v>9</v>
      </c>
      <c r="B23" s="353" t="str">
        <f>IF(A23="","",LOOKUP($A23,'Cadastro de BC - Servidores'!A22:B137))</f>
        <v>Cristina Batista de Oliveira</v>
      </c>
      <c r="C23" s="354">
        <f>IF(A23="","",LOOKUP(A23,'Cadastro de BC - Servidores'!$A$14:$A$130,'Cadastro de BC - Servidores'!$H$14:$H$130))</f>
        <v>33582238</v>
      </c>
      <c r="D23" s="329" t="str">
        <f>IF(A23="","",LOOKUP(A23,'Cadastro de BC - Servidores'!$A$14:$A$130,'Cadastro de BC - Servidores'!$I$14:$I$130))</f>
        <v>047.709.425-24</v>
      </c>
      <c r="E23" s="329" t="str">
        <f>IF(A23="","",LOOKUP(A23,'Cadastro de BC - Servidores'!$A$14:$A$130,'Cadastro de BC - Servidores'!$J$14:$J$130))</f>
        <v>047/060</v>
      </c>
      <c r="F23" s="354" t="str">
        <f>IF(A23="","",LOOKUP(A23,'Cadastro de BC - Servidores'!$A$14:$A$130,'Cadastro de BC - Servidores'!$K$14:$K$130))</f>
        <v>004311-3</v>
      </c>
      <c r="G23" s="329">
        <f>IF(A23="","",LOOKUP(A23,'Cadastro de BC - Servidores'!$A$14:$A$130,'Cadastro de BC - Servidores'!$L$14:$L$130))</f>
        <v>1.1000000000000001</v>
      </c>
      <c r="H23" s="377">
        <f>IF(A23="","",LOOKUP(A23,'Cadastro de BC - Servidores'!$A$14:$A$130,'Cadastro de BC - Servidores'!$O$14:$O$130))</f>
        <v>1991.0000000000002</v>
      </c>
      <c r="I23" s="356">
        <f>IF(A23="","",LOOKUP(A23,'Cadastro de BC - Servidores'!$A$14:$A$130,'Cadastro de BC - Servidores'!$T$14:$T$130))</f>
        <v>201.65220000000005</v>
      </c>
      <c r="J23" s="378">
        <f>IF(A23="","",LOOKUP(A23,'Cadastro de BC - Servidores'!$A$14:$A$130,'Cadastro de BC - Servidores'!$AB$14:$AB$130))</f>
        <v>89.470180000000028</v>
      </c>
      <c r="K23" s="379">
        <f>IF(A23="","",LOOKUP(A23,'Cadastro de BC - Servidores'!$A$14:$A$130,'Cadastro de BC - Servidores'!$AC$14:$AC$130))</f>
        <v>0</v>
      </c>
      <c r="L23" s="379">
        <f>IF(A23="","",LOOKUP(A23,'Cadastro de BC - Servidores'!$A$14:$A$130,'Cadastro de BC - Servidores'!$AD$14:$AD$130))</f>
        <v>0</v>
      </c>
      <c r="M23" s="380">
        <f t="shared" si="0"/>
        <v>291.12238000000008</v>
      </c>
      <c r="N23" s="379">
        <f>IF(A23="","",LOOKUP(A23,'Cadastro de BC - Servidores'!$A$14:$A$130,'Cadastro de BC - Servidores'!$AE$14:$AE$130))</f>
        <v>0</v>
      </c>
      <c r="O23" s="381">
        <f t="shared" si="1"/>
        <v>1699.8776200000002</v>
      </c>
      <c r="P23" s="396">
        <f t="shared" si="2"/>
        <v>9</v>
      </c>
    </row>
    <row r="24" spans="1:16" ht="12.95" customHeight="1" x14ac:dyDescent="0.25">
      <c r="A24" s="274">
        <v>10</v>
      </c>
      <c r="B24" s="353" t="str">
        <f>IF(A24="","",LOOKUP($A24,'Cadastro de BC - Servidores'!A23:B138))</f>
        <v>Glauber Andrade Nunes</v>
      </c>
      <c r="C24" s="354" t="str">
        <f>IF(A24="","",LOOKUP(A24,'Cadastro de BC - Servidores'!$A$14:$A$130,'Cadastro de BC - Servidores'!$H$14:$H$130))</f>
        <v>521.907-2</v>
      </c>
      <c r="D24" s="329" t="str">
        <f>IF(A24="","",LOOKUP(A24,'Cadastro de BC - Servidores'!$A$14:$A$130,'Cadastro de BC - Servidores'!$I$14:$I$130))</f>
        <v>454.911.355-34</v>
      </c>
      <c r="E24" s="329" t="str">
        <f>IF(A24="","",LOOKUP(A24,'Cadastro de BC - Servidores'!$A$14:$A$130,'Cadastro de BC - Servidores'!$J$14:$J$130))</f>
        <v>047/014</v>
      </c>
      <c r="F24" s="354" t="str">
        <f>IF(A24="","",LOOKUP(A24,'Cadastro de BC - Servidores'!$A$14:$A$130,'Cadastro de BC - Servidores'!$K$14:$K$130))</f>
        <v>045170-4</v>
      </c>
      <c r="G24" s="329">
        <f>IF(A24="","",LOOKUP(A24,'Cadastro de BC - Servidores'!$A$14:$A$130,'Cadastro de BC - Servidores'!$L$14:$L$130))</f>
        <v>1.4</v>
      </c>
      <c r="H24" s="377">
        <f>IF(A24="","",LOOKUP(A24,'Cadastro de BC - Servidores'!$A$14:$A$130,'Cadastro de BC - Servidores'!$O$14:$O$130))</f>
        <v>2533.9999999999995</v>
      </c>
      <c r="I24" s="356">
        <f>IF(A24="","",LOOKUP(A24,'Cadastro de BC - Servidores'!$A$14:$A$130,'Cadastro de BC - Servidores'!$T$14:$T$130))</f>
        <v>265.8</v>
      </c>
      <c r="J24" s="378">
        <f>IF(A24="","",LOOKUP(A24,'Cadastro de BC - Servidores'!$A$14:$A$130,'Cadastro de BC - Servidores'!$AB$14:$AB$130))</f>
        <v>156.69249999999982</v>
      </c>
      <c r="K24" s="379">
        <f>IF(A24="","",LOOKUP(A24,'Cadastro de BC - Servidores'!$A$14:$A$130,'Cadastro de BC - Servidores'!$AC$14:$AC$130))</f>
        <v>0</v>
      </c>
      <c r="L24" s="379">
        <f>IF(A24="","",LOOKUP(A24,'Cadastro de BC - Servidores'!$A$14:$A$130,'Cadastro de BC - Servidores'!$AD$14:$AD$130))</f>
        <v>0</v>
      </c>
      <c r="M24" s="380">
        <f t="shared" si="0"/>
        <v>422.49249999999984</v>
      </c>
      <c r="N24" s="379">
        <f>IF(A24="","",LOOKUP(A24,'Cadastro de BC - Servidores'!$A$14:$A$130,'Cadastro de BC - Servidores'!$AE$14:$AE$130))</f>
        <v>0</v>
      </c>
      <c r="O24" s="381">
        <f t="shared" si="1"/>
        <v>2111.5074999999997</v>
      </c>
      <c r="P24" s="396">
        <f t="shared" si="2"/>
        <v>10</v>
      </c>
    </row>
    <row r="25" spans="1:16" ht="12.95" customHeight="1" x14ac:dyDescent="0.25">
      <c r="A25" s="274">
        <v>11</v>
      </c>
      <c r="B25" s="353" t="str">
        <f>IF(A25="","",LOOKUP($A25,'Cadastro de BC - Servidores'!A24:B139))</f>
        <v xml:space="preserve">Maianne Mirelle Costa Santos </v>
      </c>
      <c r="C25" s="354" t="str">
        <f>IF(A25="","",LOOKUP(A25,'Cadastro de BC - Servidores'!$A$14:$A$130,'Cadastro de BC - Servidores'!$H$14:$H$130))</f>
        <v>2.245.757-7</v>
      </c>
      <c r="D25" s="329" t="str">
        <f>IF(A25="","",LOOKUP(A25,'Cadastro de BC - Servidores'!$A$14:$A$130,'Cadastro de BC - Servidores'!$I$14:$I$130))</f>
        <v>058.566.325-40</v>
      </c>
      <c r="E25" s="329" t="str">
        <f>IF(A25="","",LOOKUP(A25,'Cadastro de BC - Servidores'!$A$14:$A$130,'Cadastro de BC - Servidores'!$J$14:$J$130))</f>
        <v>047/012</v>
      </c>
      <c r="F25" s="354" t="str">
        <f>IF(A25="","",LOOKUP(A25,'Cadastro de BC - Servidores'!$A$14:$A$130,'Cadastro de BC - Servidores'!$K$14:$K$130))</f>
        <v>021.645-0</v>
      </c>
      <c r="G25" s="329">
        <f>IF(A25="","",LOOKUP(A25,'Cadastro de BC - Servidores'!$A$14:$A$130,'Cadastro de BC - Servidores'!$L$14:$L$130))</f>
        <v>1.1000000000000001</v>
      </c>
      <c r="H25" s="377">
        <f>IF(A25="","",LOOKUP(A25,'Cadastro de BC - Servidores'!$A$14:$A$130,'Cadastro de BC - Servidores'!$O$14:$O$130))</f>
        <v>1991.0000000000002</v>
      </c>
      <c r="I25" s="356">
        <f>IF(A25="","",LOOKUP(A25,'Cadastro de BC - Servidores'!$A$14:$A$130,'Cadastro de BC - Servidores'!$T$14:$T$130))</f>
        <v>208.50720000000001</v>
      </c>
      <c r="J25" s="378">
        <f>IF(A25="","",LOOKUP(A25,'Cadastro de BC - Servidores'!$A$14:$A$130,'Cadastro de BC - Servidores'!$AB$14:$AB$130))</f>
        <v>119.63218000000001</v>
      </c>
      <c r="K25" s="379">
        <f>IF(A25="","",LOOKUP(A25,'Cadastro de BC - Servidores'!$A$14:$A$130,'Cadastro de BC - Servidores'!$AC$14:$AC$130))</f>
        <v>0</v>
      </c>
      <c r="L25" s="379">
        <f>IF(A25="","",LOOKUP(A25,'Cadastro de BC - Servidores'!$A$14:$A$130,'Cadastro de BC - Servidores'!$AD$14:$AD$130))</f>
        <v>0</v>
      </c>
      <c r="M25" s="380">
        <f t="shared" si="0"/>
        <v>328.13938000000002</v>
      </c>
      <c r="N25" s="379">
        <f>IF(A25="","",LOOKUP(A25,'Cadastro de BC - Servidores'!$A$14:$A$130,'Cadastro de BC - Servidores'!$AE$14:$AE$130))</f>
        <v>0</v>
      </c>
      <c r="O25" s="381">
        <f t="shared" si="1"/>
        <v>1662.8606200000002</v>
      </c>
      <c r="P25" s="396">
        <f t="shared" si="2"/>
        <v>11</v>
      </c>
    </row>
    <row r="26" spans="1:16" ht="12.95" customHeight="1" x14ac:dyDescent="0.25">
      <c r="A26" s="274">
        <v>12</v>
      </c>
      <c r="B26" s="353" t="str">
        <f>IF(A26="","",LOOKUP($A26,'Cadastro de BC - Servidores'!A25:B140))</f>
        <v>Anny Karolinny Silva de Souza</v>
      </c>
      <c r="C26" s="354" t="str">
        <f>IF(A26="","",LOOKUP(A26,'Cadastro de BC - Servidores'!$A$14:$A$130,'Cadastro de BC - Servidores'!$H$14:$H$130))</f>
        <v>2559806-6</v>
      </c>
      <c r="D26" s="329" t="str">
        <f>IF(A26="","",LOOKUP(A26,'Cadastro de BC - Servidores'!$A$14:$A$130,'Cadastro de BC - Servidores'!$I$14:$I$130))</f>
        <v>058.181.145-38</v>
      </c>
      <c r="E26" s="329" t="str">
        <f>IF(A26="","",LOOKUP(A26,'Cadastro de BC - Servidores'!$A$14:$A$130,'Cadastro de BC - Servidores'!$J$14:$J$130))</f>
        <v>047/060</v>
      </c>
      <c r="F26" s="354" t="str">
        <f>IF(A26="","",LOOKUP(A26,'Cadastro de BC - Servidores'!$A$14:$A$130,'Cadastro de BC - Servidores'!$K$14:$K$130))</f>
        <v>005312-7</v>
      </c>
      <c r="G26" s="329">
        <f>IF(A26="","",LOOKUP(A26,'Cadastro de BC - Servidores'!$A$14:$A$130,'Cadastro de BC - Servidores'!$L$14:$L$130))</f>
        <v>0.8</v>
      </c>
      <c r="H26" s="377">
        <f>IF(A26="","",LOOKUP(A26,'Cadastro de BC - Servidores'!$A$14:$A$130,'Cadastro de BC - Servidores'!$O$14:$O$130))</f>
        <v>1448</v>
      </c>
      <c r="I26" s="356">
        <f>IF(A26="","",LOOKUP(A26,'Cadastro de BC - Servidores'!$A$14:$A$130,'Cadastro de BC - Servidores'!$T$14:$T$130))</f>
        <v>135.47999999999996</v>
      </c>
      <c r="J26" s="378">
        <f>IF(A26="","",LOOKUP(A26,'Cadastro de BC - Servidores'!$A$14:$A$130,'Cadastro de BC - Servidores'!$AB$14:$AB$130))</f>
        <v>21.590249999999969</v>
      </c>
      <c r="K26" s="379">
        <f>IF(A26="","",LOOKUP(A26,'Cadastro de BC - Servidores'!$A$14:$A$130,'Cadastro de BC - Servidores'!$AC$14:$AC$130))</f>
        <v>0</v>
      </c>
      <c r="L26" s="379">
        <f>IF(A26="","",LOOKUP(A26,'Cadastro de BC - Servidores'!$A$14:$A$130,'Cadastro de BC - Servidores'!$AD$14:$AD$130))</f>
        <v>0</v>
      </c>
      <c r="M26" s="380">
        <f t="shared" si="0"/>
        <v>157.07024999999993</v>
      </c>
      <c r="N26" s="379">
        <f>IF(A26="","",LOOKUP(A26,'Cadastro de BC - Servidores'!$A$14:$A$130,'Cadastro de BC - Servidores'!$AE$14:$AE$130))</f>
        <v>0</v>
      </c>
      <c r="O26" s="381">
        <f t="shared" si="1"/>
        <v>1290.92975</v>
      </c>
      <c r="P26" s="396">
        <f t="shared" si="2"/>
        <v>12</v>
      </c>
    </row>
    <row r="27" spans="1:16" ht="12.95" customHeight="1" x14ac:dyDescent="0.25">
      <c r="A27" s="274">
        <v>13</v>
      </c>
      <c r="B27" s="353" t="str">
        <f>IF(A27="","",LOOKUP($A27,'Cadastro de BC - Servidores'!A26:B141))</f>
        <v>João Trivan Pereira Guimarães</v>
      </c>
      <c r="C27" s="354">
        <f>IF(A27="","",LOOKUP(A27,'Cadastro de BC - Servidores'!$A$14:$A$130,'Cadastro de BC - Servidores'!$H$14:$H$130))</f>
        <v>426723</v>
      </c>
      <c r="D27" s="329" t="str">
        <f>IF(A27="","",LOOKUP(A27,'Cadastro de BC - Servidores'!$A$14:$A$130,'Cadastro de BC - Servidores'!$I$14:$I$130))</f>
        <v>364.839.825-34</v>
      </c>
      <c r="E27" s="329" t="str">
        <f>IF(A27="","",LOOKUP(A27,'Cadastro de BC - Servidores'!$A$14:$A$130,'Cadastro de BC - Servidores'!$J$14:$J$130))</f>
        <v>047/048</v>
      </c>
      <c r="F27" s="354" t="str">
        <f>IF(A27="","",LOOKUP(A27,'Cadastro de BC - Servidores'!$A$14:$A$130,'Cadastro de BC - Servidores'!$K$14:$K$130))</f>
        <v>005879-0</v>
      </c>
      <c r="G27" s="329">
        <f>IF(A27="","",LOOKUP(A27,'Cadastro de BC - Servidores'!$A$14:$A$130,'Cadastro de BC - Servidores'!$L$14:$L$130))</f>
        <v>0.65</v>
      </c>
      <c r="H27" s="377">
        <f>IF(A27="","",LOOKUP(A27,'Cadastro de BC - Servidores'!$A$14:$A$130,'Cadastro de BC - Servidores'!$O$14:$O$130))</f>
        <v>1176.5</v>
      </c>
      <c r="I27" s="356">
        <f>IF(A27="","",LOOKUP(A27,'Cadastro de BC - Servidores'!$A$14:$A$130,'Cadastro de BC - Servidores'!$T$14:$T$130))</f>
        <v>88.237499999999983</v>
      </c>
      <c r="J27" s="378">
        <f>IF(A27="","",LOOKUP(A27,'Cadastro de BC - Servidores'!$A$14:$A$130,'Cadastro de BC - Servidores'!$AB$14:$AB$130))</f>
        <v>0</v>
      </c>
      <c r="K27" s="379">
        <f>IF(A27="","",LOOKUP(A27,'Cadastro de BC - Servidores'!$A$14:$A$130,'Cadastro de BC - Servidores'!$AC$14:$AC$130))</f>
        <v>0</v>
      </c>
      <c r="L27" s="379">
        <f>IF(A27="","",LOOKUP(A27,'Cadastro de BC - Servidores'!$A$14:$A$130,'Cadastro de BC - Servidores'!$AD$14:$AD$130))</f>
        <v>0</v>
      </c>
      <c r="M27" s="380">
        <f t="shared" si="0"/>
        <v>88.237499999999983</v>
      </c>
      <c r="N27" s="379">
        <f>IF(A27="","",LOOKUP(A27,'Cadastro de BC - Servidores'!$A$14:$A$130,'Cadastro de BC - Servidores'!$AE$14:$AE$130))</f>
        <v>0</v>
      </c>
      <c r="O27" s="381">
        <f t="shared" si="1"/>
        <v>1088.2625</v>
      </c>
      <c r="P27" s="396">
        <f t="shared" si="2"/>
        <v>13</v>
      </c>
    </row>
    <row r="28" spans="1:16" ht="12.95" customHeight="1" x14ac:dyDescent="0.25">
      <c r="A28" s="274">
        <v>14</v>
      </c>
      <c r="B28" s="353" t="str">
        <f>IF(A28="","",LOOKUP($A28,'Cadastro de BC - Servidores'!A27:B142))</f>
        <v>Luis Adriano Silva de Melo</v>
      </c>
      <c r="C28" s="354">
        <f>IF(A28="","",LOOKUP(A28,'Cadastro de BC - Servidores'!$A$14:$A$130,'Cadastro de BC - Servidores'!$H$14:$H$130))</f>
        <v>946223</v>
      </c>
      <c r="D28" s="329" t="str">
        <f>IF(A28="","",LOOKUP(A28,'Cadastro de BC - Servidores'!$A$14:$A$130,'Cadastro de BC - Servidores'!$I$14:$I$130))</f>
        <v>720.583.745-68</v>
      </c>
      <c r="E28" s="329" t="str">
        <f>IF(A28="","",LOOKUP(A28,'Cadastro de BC - Servidores'!$A$14:$A$130,'Cadastro de BC - Servidores'!$J$14:$J$130))</f>
        <v>047/051</v>
      </c>
      <c r="F28" s="354" t="str">
        <f>IF(A28="","",LOOKUP(A28,'Cadastro de BC - Servidores'!$A$14:$A$130,'Cadastro de BC - Servidores'!$K$14:$K$130))</f>
        <v>001.599-4</v>
      </c>
      <c r="G28" s="329">
        <f>IF(A28="","",LOOKUP(A28,'Cadastro de BC - Servidores'!$A$14:$A$130,'Cadastro de BC - Servidores'!$L$14:$L$130))</f>
        <v>1.1499999999999999</v>
      </c>
      <c r="H28" s="377">
        <f>IF(A28="","",LOOKUP(A28,'Cadastro de BC - Servidores'!$A$14:$A$130,'Cadastro de BC - Servidores'!$O$14:$O$130))</f>
        <v>2081.5</v>
      </c>
      <c r="I28" s="356">
        <f>IF(A28="","",LOOKUP(A28,'Cadastro de BC - Servidores'!$A$14:$A$130,'Cadastro de BC - Servidores'!$T$14:$T$130))</f>
        <v>164.56499999999997</v>
      </c>
      <c r="J28" s="378">
        <f>IF(A28="","",LOOKUP(A28,'Cadastro de BC - Servidores'!$A$14:$A$130,'Cadastro de BC - Servidores'!$AB$14:$AB$130))</f>
        <v>0</v>
      </c>
      <c r="K28" s="379">
        <f>IF(A28="","",LOOKUP(A28,'Cadastro de BC - Servidores'!$A$14:$A$130,'Cadastro de BC - Servidores'!$AC$14:$AC$130))</f>
        <v>0</v>
      </c>
      <c r="L28" s="379">
        <f>IF(A28="","",LOOKUP(A28,'Cadastro de BC - Servidores'!$A$14:$A$130,'Cadastro de BC - Servidores'!$AD$14:$AD$130))</f>
        <v>0</v>
      </c>
      <c r="M28" s="380">
        <f t="shared" si="0"/>
        <v>164.56499999999997</v>
      </c>
      <c r="N28" s="379">
        <f>IF(A28="","",LOOKUP(A28,'Cadastro de BC - Servidores'!$A$14:$A$130,'Cadastro de BC - Servidores'!$AE$14:$AE$130))</f>
        <v>0</v>
      </c>
      <c r="O28" s="381">
        <f t="shared" si="1"/>
        <v>1916.9349999999999</v>
      </c>
      <c r="P28" s="396">
        <f t="shared" si="2"/>
        <v>14</v>
      </c>
    </row>
    <row r="29" spans="1:16" ht="12.95" customHeight="1" x14ac:dyDescent="0.25">
      <c r="A29" s="274">
        <v>15</v>
      </c>
      <c r="B29" s="353" t="str">
        <f>IF(A29="","",LOOKUP($A29,'Cadastro de BC - Servidores'!A28:B143))</f>
        <v>Luziane Cavalcante Ferreira</v>
      </c>
      <c r="C29" s="354">
        <f>IF(A29="","",LOOKUP(A29,'Cadastro de BC - Servidores'!$A$14:$A$130,'Cadastro de BC - Servidores'!$H$14:$H$130))</f>
        <v>24912743</v>
      </c>
      <c r="D29" s="329" t="str">
        <f>IF(A29="","",LOOKUP(A29,'Cadastro de BC - Servidores'!$A$14:$A$130,'Cadastro de BC - Servidores'!$I$14:$I$130))</f>
        <v>046.844.205-74</v>
      </c>
      <c r="E29" s="329" t="str">
        <f>IF(A29="","",LOOKUP(A29,'Cadastro de BC - Servidores'!$A$14:$A$130,'Cadastro de BC - Servidores'!$J$14:$J$130))</f>
        <v>047/029</v>
      </c>
      <c r="F29" s="354" t="str">
        <f>IF(A29="","",LOOKUP(A29,'Cadastro de BC - Servidores'!$A$14:$A$130,'Cadastro de BC - Servidores'!$K$14:$K$130))</f>
        <v>58214-0</v>
      </c>
      <c r="G29" s="329">
        <f>IF(A29="","",LOOKUP(A29,'Cadastro de BC - Servidores'!$A$14:$A$130,'Cadastro de BC - Servidores'!$L$14:$L$130))</f>
        <v>0.5</v>
      </c>
      <c r="H29" s="377">
        <f>IF(A29="","",LOOKUP(A29,'Cadastro de BC - Servidores'!$A$14:$A$130,'Cadastro de BC - Servidores'!$O$14:$O$130))</f>
        <v>905</v>
      </c>
      <c r="I29" s="356">
        <f>IF(A29="","",LOOKUP(A29,'Cadastro de BC - Servidores'!$A$14:$A$130,'Cadastro de BC - Servidores'!$T$14:$T$130))</f>
        <v>85.499999999999972</v>
      </c>
      <c r="J29" s="378">
        <f>IF(A29="","",LOOKUP(A29,'Cadastro de BC - Servidores'!$A$14:$A$130,'Cadastro de BC - Servidores'!$AB$14:$AB$130))</f>
        <v>19.148249999999962</v>
      </c>
      <c r="K29" s="379">
        <f>IF(A29="","",LOOKUP(A29,'Cadastro de BC - Servidores'!$A$14:$A$130,'Cadastro de BC - Servidores'!$AC$14:$AC$130))</f>
        <v>0</v>
      </c>
      <c r="L29" s="379">
        <f>IF(A29="","",LOOKUP(A29,'Cadastro de BC - Servidores'!$A$14:$A$130,'Cadastro de BC - Servidores'!$AD$14:$AD$130))</f>
        <v>0</v>
      </c>
      <c r="M29" s="380">
        <f t="shared" si="0"/>
        <v>104.64824999999993</v>
      </c>
      <c r="N29" s="379">
        <f>IF(A29="","",LOOKUP(A29,'Cadastro de BC - Servidores'!$A$14:$A$130,'Cadastro de BC - Servidores'!$AE$14:$AE$130))</f>
        <v>0</v>
      </c>
      <c r="O29" s="381">
        <f t="shared" si="1"/>
        <v>800.35175000000004</v>
      </c>
      <c r="P29" s="396">
        <f t="shared" si="2"/>
        <v>15</v>
      </c>
    </row>
    <row r="30" spans="1:16" ht="12.95" customHeight="1" x14ac:dyDescent="0.25">
      <c r="A30" s="274">
        <v>16</v>
      </c>
      <c r="B30" s="353" t="str">
        <f>IF(A30="","",LOOKUP($A30,'Cadastro de BC - Servidores'!A29:B144))</f>
        <v>Barbara Santana de Andrade</v>
      </c>
      <c r="C30" s="354">
        <f>IF(A30="","",LOOKUP(A30,'Cadastro de BC - Servidores'!$A$14:$A$130,'Cadastro de BC - Servidores'!$H$14:$H$130))</f>
        <v>32333455</v>
      </c>
      <c r="D30" s="329" t="str">
        <f>IF(A30="","",LOOKUP(A30,'Cadastro de BC - Servidores'!$A$14:$A$130,'Cadastro de BC - Servidores'!$I$14:$I$130))</f>
        <v>017.467.655-77</v>
      </c>
      <c r="E30" s="329" t="str">
        <f>IF(A30="","",LOOKUP(A30,'Cadastro de BC - Servidores'!$A$14:$A$130,'Cadastro de BC - Servidores'!$J$14:$J$130))</f>
        <v>047/014</v>
      </c>
      <c r="F30" s="354" t="str">
        <f>IF(A30="","",LOOKUP(A30,'Cadastro de BC - Servidores'!$A$14:$A$130,'Cadastro de BC - Servidores'!$K$14:$K$130))</f>
        <v>827231-0</v>
      </c>
      <c r="G30" s="329">
        <f>IF(A30="","",LOOKUP(A30,'Cadastro de BC - Servidores'!$A$14:$A$130,'Cadastro de BC - Servidores'!$L$14:$L$130))</f>
        <v>1.1000000000000001</v>
      </c>
      <c r="H30" s="377">
        <f>IF(A30="","",LOOKUP(A30,'Cadastro de BC - Servidores'!$A$14:$A$130,'Cadastro de BC - Servidores'!$O$14:$O$130))</f>
        <v>1991.0000000000002</v>
      </c>
      <c r="I30" s="356">
        <f>IF(A30="","",LOOKUP(A30,'Cadastro de BC - Servidores'!$A$14:$A$130,'Cadastro de BC - Servidores'!$T$14:$T$130))</f>
        <v>200.64000000000004</v>
      </c>
      <c r="J30" s="378">
        <f>IF(A30="","",LOOKUP(A30,'Cadastro de BC - Servidores'!$A$14:$A$130,'Cadastro de BC - Servidores'!$AB$14:$AB$130))</f>
        <v>85.016500000000008</v>
      </c>
      <c r="K30" s="379">
        <f>IF(A30="","",LOOKUP(A30,'Cadastro de BC - Servidores'!$A$14:$A$130,'Cadastro de BC - Servidores'!$AC$14:$AC$130))</f>
        <v>0</v>
      </c>
      <c r="L30" s="379">
        <f>IF(A30="","",LOOKUP(A30,'Cadastro de BC - Servidores'!$A$14:$A$130,'Cadastro de BC - Servidores'!$AD$14:$AD$130))</f>
        <v>0</v>
      </c>
      <c r="M30" s="380">
        <f t="shared" si="0"/>
        <v>285.65650000000005</v>
      </c>
      <c r="N30" s="379">
        <f>IF(A30="","",LOOKUP(A30,'Cadastro de BC - Servidores'!$A$14:$A$130,'Cadastro de BC - Servidores'!$AE$14:$AE$130))</f>
        <v>0</v>
      </c>
      <c r="O30" s="381">
        <f t="shared" si="1"/>
        <v>1705.3435000000002</v>
      </c>
      <c r="P30" s="396">
        <f t="shared" si="2"/>
        <v>16</v>
      </c>
    </row>
    <row r="31" spans="1:16" ht="12.95" customHeight="1" x14ac:dyDescent="0.25">
      <c r="A31" s="274">
        <v>17</v>
      </c>
      <c r="B31" s="353" t="str">
        <f>IF(A31="","",LOOKUP($A31,'Cadastro de BC - Servidores'!A30:B145))</f>
        <v>Mayra Oliveira Nunes Lima</v>
      </c>
      <c r="C31" s="354" t="str">
        <f>IF(A31="","",LOOKUP(A31,'Cadastro de BC - Servidores'!$A$14:$A$130,'Cadastro de BC - Servidores'!$H$14:$H$130))</f>
        <v>3.081.103-1</v>
      </c>
      <c r="D31" s="329" t="str">
        <f>IF(A31="","",LOOKUP(A31,'Cadastro de BC - Servidores'!$A$14:$A$130,'Cadastro de BC - Servidores'!$I$14:$I$130))</f>
        <v>013.683.915-08</v>
      </c>
      <c r="E31" s="329" t="str">
        <f>IF(A31="","",LOOKUP(A31,'Cadastro de BC - Servidores'!$A$14:$A$130,'Cadastro de BC - Servidores'!$J$14:$J$130))</f>
        <v>047/015</v>
      </c>
      <c r="F31" s="354">
        <f>IF(A31="","",LOOKUP(A31,'Cadastro de BC - Servidores'!$A$14:$A$130,'Cadastro de BC - Servidores'!$K$14:$K$130))</f>
        <v>655024</v>
      </c>
      <c r="G31" s="329">
        <f>IF(A31="","",LOOKUP(A31,'Cadastro de BC - Servidores'!$A$14:$A$130,'Cadastro de BC - Servidores'!$L$14:$L$130))</f>
        <v>1.5</v>
      </c>
      <c r="H31" s="377">
        <f>IF(A31="","",LOOKUP(A31,'Cadastro de BC - Servidores'!$A$14:$A$130,'Cadastro de BC - Servidores'!$O$14:$O$130))</f>
        <v>2715</v>
      </c>
      <c r="I31" s="356">
        <f>IF(A31="","",LOOKUP(A31,'Cadastro de BC - Servidores'!$A$14:$A$130,'Cadastro de BC - Servidores'!$T$14:$T$130))</f>
        <v>288.37000000000006</v>
      </c>
      <c r="J31" s="378">
        <f>IF(A31="","",LOOKUP(A31,'Cadastro de BC - Servidores'!$A$14:$A$130,'Cadastro de BC - Servidores'!$AB$14:$AB$130))</f>
        <v>186.43550000000005</v>
      </c>
      <c r="K31" s="379">
        <f>IF(A31="","",LOOKUP(A31,'Cadastro de BC - Servidores'!$A$14:$A$130,'Cadastro de BC - Servidores'!$AC$14:$AC$130))</f>
        <v>0</v>
      </c>
      <c r="L31" s="379">
        <f>IF(A31="","",LOOKUP(A31,'Cadastro de BC - Servidores'!$A$14:$A$130,'Cadastro de BC - Servidores'!$AD$14:$AD$130))</f>
        <v>0</v>
      </c>
      <c r="M31" s="380">
        <f t="shared" si="0"/>
        <v>474.80550000000011</v>
      </c>
      <c r="N31" s="379">
        <f>IF(A31="","",LOOKUP(A31,'Cadastro de BC - Servidores'!$A$14:$A$130,'Cadastro de BC - Servidores'!$AE$14:$AE$130))</f>
        <v>0</v>
      </c>
      <c r="O31" s="381">
        <f t="shared" si="1"/>
        <v>2240.1945000000001</v>
      </c>
      <c r="P31" s="396">
        <f t="shared" si="2"/>
        <v>17</v>
      </c>
    </row>
    <row r="32" spans="1:16" ht="12.95" customHeight="1" x14ac:dyDescent="0.25">
      <c r="A32" s="274">
        <v>18</v>
      </c>
      <c r="B32" s="353" t="str">
        <f>IF(A32="","",LOOKUP($A32,'Cadastro de BC - Servidores'!A31:B146))</f>
        <v>Reginaldo Santos Aragão</v>
      </c>
      <c r="C32" s="354" t="str">
        <f>IF(A32="","",LOOKUP(A32,'Cadastro de BC - Servidores'!$A$14:$A$130,'Cadastro de BC - Servidores'!$H$14:$H$130))</f>
        <v>938.422-7</v>
      </c>
      <c r="D32" s="329" t="str">
        <f>IF(A32="","",LOOKUP(A32,'Cadastro de BC - Servidores'!$A$14:$A$130,'Cadastro de BC - Servidores'!$I$14:$I$130))</f>
        <v>973.002.335-20</v>
      </c>
      <c r="E32" s="329" t="str">
        <f>IF(A32="","",LOOKUP(A32,'Cadastro de BC - Servidores'!$A$14:$A$130,'Cadastro de BC - Servidores'!$J$14:$J$130))</f>
        <v>047/028</v>
      </c>
      <c r="F32" s="354" t="str">
        <f>IF(A32="","",LOOKUP(A32,'Cadastro de BC - Servidores'!$A$14:$A$130,'Cadastro de BC - Servidores'!$K$14:$K$130))</f>
        <v>017734-5</v>
      </c>
      <c r="G32" s="329">
        <f>IF(A32="","",LOOKUP(A32,'Cadastro de BC - Servidores'!$A$14:$A$130,'Cadastro de BC - Servidores'!$L$14:$L$130))</f>
        <v>1.2</v>
      </c>
      <c r="H32" s="377">
        <f>IF(A32="","",LOOKUP(A32,'Cadastro de BC - Servidores'!$A$14:$A$130,'Cadastro de BC - Servidores'!$O$14:$O$130))</f>
        <v>2172</v>
      </c>
      <c r="I32" s="356">
        <f>IF(A32="","",LOOKUP(A32,'Cadastro de BC - Servidores'!$A$14:$A$130,'Cadastro de BC - Servidores'!$T$14:$T$130))</f>
        <v>172.70999999999998</v>
      </c>
      <c r="J32" s="378">
        <f>IF(A32="","",LOOKUP(A32,'Cadastro de BC - Servidores'!$A$14:$A$130,'Cadastro de BC - Servidores'!$AB$14:$AB$130))</f>
        <v>0</v>
      </c>
      <c r="K32" s="379">
        <f>IF(A32="","",LOOKUP(A32,'Cadastro de BC - Servidores'!$A$14:$A$130,'Cadastro de BC - Servidores'!$AC$14:$AC$130))</f>
        <v>0</v>
      </c>
      <c r="L32" s="379">
        <f>IF(A32="","",LOOKUP(A32,'Cadastro de BC - Servidores'!$A$14:$A$130,'Cadastro de BC - Servidores'!$AD$14:$AD$130))</f>
        <v>0</v>
      </c>
      <c r="M32" s="380">
        <f t="shared" si="0"/>
        <v>172.70999999999998</v>
      </c>
      <c r="N32" s="379">
        <f>IF(A32="","",LOOKUP(A32,'Cadastro de BC - Servidores'!$A$14:$A$130,'Cadastro de BC - Servidores'!$AE$14:$AE$130))</f>
        <v>0</v>
      </c>
      <c r="O32" s="381">
        <f t="shared" si="1"/>
        <v>1999.29</v>
      </c>
      <c r="P32" s="396">
        <f t="shared" si="2"/>
        <v>18</v>
      </c>
    </row>
    <row r="33" spans="1:19" ht="12.95" customHeight="1" x14ac:dyDescent="0.25">
      <c r="A33" s="474">
        <v>27</v>
      </c>
      <c r="B33" s="353" t="str">
        <f>IF(A33="","",LOOKUP($A33,'Cadastro de BC - Servidores'!A32:B147))</f>
        <v>Gleize Kelly Sobral Sousa</v>
      </c>
      <c r="C33" s="354" t="str">
        <f>IF(A33="","",LOOKUP(A33,'Cadastro de BC - Servidores'!$A$14:$A$130,'Cadastro de BC - Servidores'!$H$14:$H$130))</f>
        <v>03.261.790-9</v>
      </c>
      <c r="D33" s="329" t="str">
        <f>IF(A33="","",LOOKUP(A33,'Cadastro de BC - Servidores'!$A$14:$A$130,'Cadastro de BC - Servidores'!$I$14:$I$130))</f>
        <v>031.998.685-33</v>
      </c>
      <c r="E33" s="329" t="str">
        <f>IF(A33="","",LOOKUP(A33,'Cadastro de BC - Servidores'!$A$14:$A$130,'Cadastro de BC - Servidores'!$J$14:$J$130))</f>
        <v>047/055</v>
      </c>
      <c r="F33" s="354" t="str">
        <f>IF(A33="","",LOOKUP(A33,'Cadastro de BC - Servidores'!$A$14:$A$130,'Cadastro de BC - Servidores'!$K$14:$K$130))</f>
        <v>12291-2</v>
      </c>
      <c r="G33" s="329">
        <f>IF(A33="","",LOOKUP(A33,'Cadastro de BC - Servidores'!$A$14:$A$130,'Cadastro de BC - Servidores'!$L$14:$L$130))</f>
        <v>0.41</v>
      </c>
      <c r="H33" s="377">
        <f>IF(A33="","",LOOKUP(A33,'Cadastro de BC - Servidores'!$A$14:$A$130,'Cadastro de BC - Servidores'!$O$14:$O$130))</f>
        <v>742.09999999999991</v>
      </c>
      <c r="I33" s="356">
        <f>IF(A33="","",LOOKUP(A33,'Cadastro de BC - Servidores'!$A$14:$A$130,'Cadastro de BC - Servidores'!$T$14:$T$130))</f>
        <v>55.657499999999978</v>
      </c>
      <c r="J33" s="378">
        <f>IF(A33="","",LOOKUP(A33,'Cadastro de BC - Servidores'!$A$14:$A$130,'Cadastro de BC - Servidores'!$AB$14:$AB$130))</f>
        <v>0</v>
      </c>
      <c r="K33" s="379">
        <f>IF(A33="","",LOOKUP(A33,'Cadastro de BC - Servidores'!$A$14:$A$130,'Cadastro de BC - Servidores'!$AC$14:$AC$130))</f>
        <v>0</v>
      </c>
      <c r="L33" s="379">
        <f>IF(A33="","",LOOKUP(A33,'Cadastro de BC - Servidores'!$A$14:$A$130,'Cadastro de BC - Servidores'!$AD$14:$AD$130))</f>
        <v>0</v>
      </c>
      <c r="M33" s="380">
        <f t="shared" si="0"/>
        <v>55.657499999999978</v>
      </c>
      <c r="N33" s="536"/>
      <c r="O33" s="381">
        <f t="shared" si="1"/>
        <v>686.44249999999988</v>
      </c>
      <c r="P33" s="475"/>
    </row>
    <row r="34" spans="1:19" ht="12.95" customHeight="1" x14ac:dyDescent="0.25">
      <c r="A34" s="274">
        <v>19</v>
      </c>
      <c r="B34" s="353" t="str">
        <f>IF(A34="","",LOOKUP($A34,'Cadastro de BC - Servidores'!A32:B147))</f>
        <v>Livia Felix Campos</v>
      </c>
      <c r="C34" s="354" t="str">
        <f>IF(A34="","",LOOKUP(A34,'Cadastro de BC - Servidores'!$A$14:$A$130,'Cadastro de BC - Servidores'!$H$14:$H$130))</f>
        <v>3.143.489-4</v>
      </c>
      <c r="D34" s="329" t="str">
        <f>IF(A34="","",LOOKUP(A34,'Cadastro de BC - Servidores'!$A$14:$A$130,'Cadastro de BC - Servidores'!$I$14:$I$130))</f>
        <v>048.675.005-18</v>
      </c>
      <c r="E34" s="329" t="str">
        <f>IF(A34="","",LOOKUP(A34,'Cadastro de BC - Servidores'!$A$14:$A$130,'Cadastro de BC - Servidores'!$J$14:$J$130))</f>
        <v>047/011</v>
      </c>
      <c r="F34" s="354" t="str">
        <f>IF(A34="","",LOOKUP(A34,'Cadastro de BC - Servidores'!$A$14:$A$130,'Cadastro de BC - Servidores'!$K$14:$K$130))</f>
        <v>043.624-0</v>
      </c>
      <c r="G34" s="329">
        <f>IF(A34="","",LOOKUP(A34,'Cadastro de BC - Servidores'!$A$14:$A$130,'Cadastro de BC - Servidores'!$L$14:$L$130))</f>
        <v>0.75</v>
      </c>
      <c r="H34" s="377">
        <f>IF(A34="","",LOOKUP(A34,'Cadastro de BC - Servidores'!$A$14:$A$130,'Cadastro de BC - Servidores'!$O$14:$O$130))</f>
        <v>1357.5</v>
      </c>
      <c r="I34" s="356">
        <f>IF(A34="","",LOOKUP(A34,'Cadastro de BC - Servidores'!$A$14:$A$130,'Cadastro de BC - Servidores'!$T$14:$T$130))</f>
        <v>124.62000000000002</v>
      </c>
      <c r="J34" s="378">
        <f>IF(A34="","",LOOKUP(A34,'Cadastro de BC - Servidores'!$A$14:$A$130,'Cadastro de BC - Servidores'!$AB$14:$AB$130))</f>
        <v>15.617249999999927</v>
      </c>
      <c r="K34" s="379">
        <f>IF(A34="","",LOOKUP(A34,'Cadastro de BC - Servidores'!$A$14:$A$130,'Cadastro de BC - Servidores'!$AC$14:$AC$130))</f>
        <v>0</v>
      </c>
      <c r="L34" s="379">
        <f>IF(A34="","",LOOKUP(A34,'Cadastro de BC - Servidores'!$A$14:$A$130,'Cadastro de BC - Servidores'!$AD$14:$AD$130))</f>
        <v>0</v>
      </c>
      <c r="M34" s="380">
        <f t="shared" si="0"/>
        <v>140.23724999999996</v>
      </c>
      <c r="N34" s="379">
        <f>IF(A34="","",LOOKUP(A34,'Cadastro de BC - Servidores'!$A$14:$A$130,'Cadastro de BC - Servidores'!$AE$14:$AE$130))</f>
        <v>0</v>
      </c>
      <c r="O34" s="381">
        <f t="shared" si="1"/>
        <v>1217.2627500000001</v>
      </c>
      <c r="P34" s="396">
        <f>P32+1</f>
        <v>19</v>
      </c>
    </row>
    <row r="35" spans="1:19" ht="12.95" customHeight="1" x14ac:dyDescent="0.25">
      <c r="A35" s="274">
        <v>20</v>
      </c>
      <c r="B35" s="353" t="str">
        <f>IF(A35="","",LOOKUP($A35,'Cadastro de BC - Servidores'!A33:B148))</f>
        <v xml:space="preserve">Elvis Cardoso da Mota </v>
      </c>
      <c r="C35" s="354">
        <f>IF(A35="","",LOOKUP(A35,'Cadastro de BC - Servidores'!$A$14:$A$130,'Cadastro de BC - Servidores'!$H$14:$H$130))</f>
        <v>682358</v>
      </c>
      <c r="D35" s="329" t="str">
        <f>IF(A35="","",LOOKUP(A35,'Cadastro de BC - Servidores'!$A$14:$A$130,'Cadastro de BC - Servidores'!$I$14:$I$130))</f>
        <v>532.864.305-44</v>
      </c>
      <c r="E35" s="329" t="str">
        <f>IF(A35="","",LOOKUP(A35,'Cadastro de BC - Servidores'!$A$14:$A$130,'Cadastro de BC - Servidores'!$J$14:$J$130))</f>
        <v>047/029</v>
      </c>
      <c r="F35" s="354" t="str">
        <f>IF(A35="","",LOOKUP(A35,'Cadastro de BC - Servidores'!$A$14:$A$130,'Cadastro de BC - Servidores'!$K$14:$K$130))</f>
        <v>058.519-0</v>
      </c>
      <c r="G35" s="329">
        <f>IF(A35="","",LOOKUP(A35,'Cadastro de BC - Servidores'!$A$14:$A$130,'Cadastro de BC - Servidores'!$L$14:$L$130))</f>
        <v>0.74</v>
      </c>
      <c r="H35" s="377">
        <f>IF(A35="","",LOOKUP(A35,'Cadastro de BC - Servidores'!$A$14:$A$130,'Cadastro de BC - Servidores'!$O$14:$O$130))</f>
        <v>1339.4</v>
      </c>
      <c r="I35" s="356">
        <f>IF(A35="","",LOOKUP(A35,'Cadastro de BC - Servidores'!$A$14:$A$130,'Cadastro de BC - Servidores'!$T$14:$T$130))</f>
        <v>122.44799999999999</v>
      </c>
      <c r="J35" s="378">
        <f>IF(A35="","",LOOKUP(A35,'Cadastro de BC - Servidores'!$A$14:$A$130,'Cadastro de BC - Servidores'!$AB$14:$AB$130))</f>
        <v>14.422649999999948</v>
      </c>
      <c r="K35" s="379">
        <f>IF(A35="","",LOOKUP(A35,'Cadastro de BC - Servidores'!$A$14:$A$130,'Cadastro de BC - Servidores'!$AC$14:$AC$130))</f>
        <v>0</v>
      </c>
      <c r="L35" s="379">
        <f>IF(A35="","",LOOKUP(A35,'Cadastro de BC - Servidores'!$A$14:$A$130,'Cadastro de BC - Servidores'!$AD$14:$AD$130))</f>
        <v>0</v>
      </c>
      <c r="M35" s="380">
        <f t="shared" si="0"/>
        <v>136.87064999999996</v>
      </c>
      <c r="N35" s="379">
        <f>IF(A35="","",LOOKUP(A35,'Cadastro de BC - Servidores'!$A$14:$A$130,'Cadastro de BC - Servidores'!$AE$14:$AE$130))</f>
        <v>0</v>
      </c>
      <c r="O35" s="381">
        <f t="shared" si="1"/>
        <v>1202.5293500000002</v>
      </c>
      <c r="P35" s="396">
        <f>P34+1</f>
        <v>20</v>
      </c>
    </row>
    <row r="36" spans="1:19" ht="12.95" customHeight="1" x14ac:dyDescent="0.25">
      <c r="A36" s="474">
        <v>29</v>
      </c>
      <c r="B36" s="353" t="str">
        <f>IF(A36="","",LOOKUP($A36,'Cadastro de BC - Servidores'!A34:B149))</f>
        <v>Leonardo Santos Lima</v>
      </c>
      <c r="C36" s="354">
        <f>IF(A36="","",LOOKUP(A36,'Cadastro de BC - Servidores'!$A$14:$A$130,'Cadastro de BC - Servidores'!$H$14:$H$130))</f>
        <v>32724411</v>
      </c>
      <c r="D36" s="329" t="str">
        <f>IF(A36="","",LOOKUP(A36,'Cadastro de BC - Servidores'!$A$14:$A$130,'Cadastro de BC - Servidores'!$I$14:$I$130))</f>
        <v>053.017.585-19</v>
      </c>
      <c r="E36" s="329" t="str">
        <f>IF(A36="","",LOOKUP(A36,'Cadastro de BC - Servidores'!$A$14:$A$130,'Cadastro de BC - Servidores'!$J$14:$J$130))</f>
        <v>341/1170</v>
      </c>
      <c r="F36" s="354" t="str">
        <f>IF(A36="","",LOOKUP(A36,'Cadastro de BC - Servidores'!$A$14:$A$130,'Cadastro de BC - Servidores'!$K$14:$K$130))</f>
        <v>95851-4</v>
      </c>
      <c r="G36" s="329">
        <f>IF(A36="","",LOOKUP(A36,'Cadastro de BC - Servidores'!$A$14:$A$130,'Cadastro de BC - Servidores'!$L$14:$L$130))</f>
        <v>0.41</v>
      </c>
      <c r="H36" s="377">
        <f>IF(A36="","",LOOKUP(A36,'Cadastro de BC - Servidores'!$A$14:$A$130,'Cadastro de BC - Servidores'!$O$14:$O$130))</f>
        <v>742.09999999999991</v>
      </c>
      <c r="I36" s="356">
        <f>IF(A36="","",LOOKUP(A36,'Cadastro de BC - Servidores'!$A$14:$A$130,'Cadastro de BC - Servidores'!$T$14:$T$130))</f>
        <v>55.657499999999978</v>
      </c>
      <c r="J36" s="378">
        <f>IF(A36="","",LOOKUP(A36,'Cadastro de BC - Servidores'!$A$14:$A$130,'Cadastro de BC - Servidores'!$AB$14:$AB$130))</f>
        <v>0</v>
      </c>
      <c r="K36" s="379">
        <f>IF(A36="","",LOOKUP(A36,'Cadastro de BC - Servidores'!$A$14:$A$130,'Cadastro de BC - Servidores'!$AC$14:$AC$130))</f>
        <v>0</v>
      </c>
      <c r="L36" s="379">
        <f>IF(A36="","",LOOKUP(A36,'Cadastro de BC - Servidores'!$A$14:$A$130,'Cadastro de BC - Servidores'!$AD$14:$AD$130))</f>
        <v>0</v>
      </c>
      <c r="M36" s="380">
        <f t="shared" ref="M36" si="3">I36+J36+L36+K36</f>
        <v>55.657499999999978</v>
      </c>
      <c r="N36" s="379">
        <f>IF(A36="","",LOOKUP(A36,'Cadastro de BC - Servidores'!$A$14:$A$130,'Cadastro de BC - Servidores'!$AE$14:$AE$130))</f>
        <v>0</v>
      </c>
      <c r="O36" s="381">
        <f t="shared" ref="O36" si="4">H36-M36+N36</f>
        <v>686.44249999999988</v>
      </c>
      <c r="P36" s="475"/>
    </row>
    <row r="37" spans="1:19" ht="12.95" customHeight="1" x14ac:dyDescent="0.25">
      <c r="A37" s="274">
        <v>30</v>
      </c>
      <c r="B37" s="489" t="str">
        <f>IF(A37="","",LOOKUP($A37,'Cadastro de BC - Servidores'!A34:B149))</f>
        <v>Marcia Gabriela da Cruz Santos</v>
      </c>
      <c r="C37" s="490">
        <f>IF(A37="","",LOOKUP(A37,'Cadastro de BC - Servidores'!$A$14:$A$130,'Cadastro de BC - Servidores'!$H$14:$H$130))</f>
        <v>703112117</v>
      </c>
      <c r="D37" s="491" t="str">
        <f>IF(A37="","",LOOKUP(A37,'Cadastro de BC - Servidores'!$A$14:$A$130,'Cadastro de BC - Servidores'!$I$14:$I$130))</f>
        <v>058.671.645-94</v>
      </c>
      <c r="E37" s="491" t="str">
        <f>IF(A37="","",LOOKUP(A37,'Cadastro de BC - Servidores'!$A$14:$A$130,'Cadastro de BC - Servidores'!$J$14:$J$130))</f>
        <v>047/013</v>
      </c>
      <c r="F37" s="490" t="str">
        <f>IF(A37="","",LOOKUP(A37,'Cadastro de BC - Servidores'!$A$14:$A$130,'Cadastro de BC - Servidores'!$K$14:$K$130))</f>
        <v>6616-4</v>
      </c>
      <c r="G37" s="491">
        <f>IF(A37="","",LOOKUP(A37,'Cadastro de BC - Servidores'!$A$14:$A$130,'Cadastro de BC - Servidores'!$L$14:$L$130))</f>
        <v>1.2</v>
      </c>
      <c r="H37" s="492">
        <f>IF(A37="","",LOOKUP(A37,'Cadastro de BC - Servidores'!$A$14:$A$130,'Cadastro de BC - Servidores'!$O$14:$O$130))</f>
        <v>2172</v>
      </c>
      <c r="I37" s="493">
        <f>IF(A37="","",LOOKUP(A37,'Cadastro de BC - Servidores'!$A$14:$A$130,'Cadastro de BC - Servidores'!$T$14:$T$130))</f>
        <v>222.36000000000007</v>
      </c>
      <c r="J37" s="494">
        <f>IF(A37="","",LOOKUP(A37,'Cadastro de BC - Servidores'!$A$14:$A$130,'Cadastro de BC - Servidores'!$AB$14:$AB$130))</f>
        <v>108.90849999999995</v>
      </c>
      <c r="K37" s="495">
        <f>IF(A37="","",LOOKUP(A37,'Cadastro de BC - Servidores'!$A$14:$A$130,'Cadastro de BC - Servidores'!$AC$14:$AC$130))</f>
        <v>0</v>
      </c>
      <c r="L37" s="495">
        <f>IF(A37="","",LOOKUP(A37,'Cadastro de BC - Servidores'!$A$14:$A$130,'Cadastro de BC - Servidores'!$AD$14:$AD$130))</f>
        <v>0</v>
      </c>
      <c r="M37" s="496">
        <f t="shared" si="0"/>
        <v>331.26850000000002</v>
      </c>
      <c r="N37" s="495">
        <f>IF(A37="","",LOOKUP(A37,'Cadastro de BC - Servidores'!$A$14:$A$130,'Cadastro de BC - Servidores'!$AE$14:$AE$130))</f>
        <v>0</v>
      </c>
      <c r="O37" s="497">
        <f t="shared" si="1"/>
        <v>1840.7314999999999</v>
      </c>
      <c r="P37" s="396">
        <f>P35+1</f>
        <v>21</v>
      </c>
    </row>
    <row r="38" spans="1:19" ht="12.95" customHeight="1" x14ac:dyDescent="0.25">
      <c r="A38" s="274">
        <v>32</v>
      </c>
      <c r="B38" s="353" t="str">
        <f>IF(A38="","",LOOKUP($A38,'Cadastro de BC - Servidores'!A35:B150))</f>
        <v>Deborah Sena França</v>
      </c>
      <c r="C38" s="354" t="str">
        <f>IF(A38="","",LOOKUP(A38,'Cadastro de BC - Servidores'!$A$14:$A$130,'Cadastro de BC - Servidores'!$H$14:$H$130))</f>
        <v>3.128.469-8</v>
      </c>
      <c r="D38" s="329" t="str">
        <f>IF(A38="","",LOOKUP(A38,'Cadastro de BC - Servidores'!$A$14:$A$130,'Cadastro de BC - Servidores'!$I$14:$I$130))</f>
        <v>043.829.165-42</v>
      </c>
      <c r="E38" s="329" t="str">
        <f>IF(A38="","",LOOKUP(A38,'Cadastro de BC - Servidores'!$A$14:$A$130,'Cadastro de BC - Servidores'!$J$14:$J$130))</f>
        <v>047/029</v>
      </c>
      <c r="F38" s="354" t="str">
        <f>IF(A38="","",LOOKUP(A38,'Cadastro de BC - Servidores'!$A$14:$A$130,'Cadastro de BC - Servidores'!$K$14:$K$130))</f>
        <v>048620-6</v>
      </c>
      <c r="G38" s="329">
        <f>IF(A38="","",LOOKUP(A38,'Cadastro de BC - Servidores'!$A$14:$A$130,'Cadastro de BC - Servidores'!$L$14:$L$130))</f>
        <v>0.45</v>
      </c>
      <c r="H38" s="377">
        <f>IF(A38="","",LOOKUP(A38,'Cadastro de BC - Servidores'!$A$14:$A$130,'Cadastro de BC - Servidores'!$O$14:$O$130))</f>
        <v>814.50000000000011</v>
      </c>
      <c r="I38" s="356">
        <f>IF(A38="","",LOOKUP(A38,'Cadastro de BC - Servidores'!$A$14:$A$130,'Cadastro de BC - Servidores'!$T$14:$T$130))</f>
        <v>61.087499999999991</v>
      </c>
      <c r="J38" s="378">
        <f>IF(A38="","",LOOKUP(A38,'Cadastro de BC - Servidores'!$A$14:$A$130,'Cadastro de BC - Servidores'!$AB$14:$AB$130))</f>
        <v>0</v>
      </c>
      <c r="K38" s="379">
        <f>IF(A38="","",LOOKUP(A38,'Cadastro de BC - Servidores'!$A$14:$A$130,'Cadastro de BC - Servidores'!$AC$14:$AC$130))</f>
        <v>0</v>
      </c>
      <c r="L38" s="379">
        <f>IF(A38="","",LOOKUP(A38,'Cadastro de BC - Servidores'!$A$14:$A$130,'Cadastro de BC - Servidores'!$AD$14:$AD$130))</f>
        <v>0</v>
      </c>
      <c r="M38" s="380">
        <f t="shared" si="0"/>
        <v>61.087499999999991</v>
      </c>
      <c r="N38" s="379">
        <f>IF(A38="","",LOOKUP(A38,'Cadastro de BC - Servidores'!$A$14:$A$130,'Cadastro de BC - Servidores'!$AE$14:$AE$130))</f>
        <v>0</v>
      </c>
      <c r="O38" s="381">
        <f t="shared" si="1"/>
        <v>753.41250000000014</v>
      </c>
      <c r="P38" s="396">
        <f>P37+1</f>
        <v>22</v>
      </c>
    </row>
    <row r="39" spans="1:19" ht="12.95" customHeight="1" x14ac:dyDescent="0.25">
      <c r="A39" s="474">
        <v>35</v>
      </c>
      <c r="B39" s="353" t="str">
        <f>IF(A39="","",LOOKUP($A39,'Cadastro de BC - Servidores'!A36:B151))</f>
        <v>Alan Gabriel Santos Ribeiro</v>
      </c>
      <c r="C39" s="354">
        <f>IF(A39="","",LOOKUP(A39,'Cadastro de BC - Servidores'!$A$14:$A$130,'Cadastro de BC - Servidores'!$H$14:$H$130))</f>
        <v>34835172</v>
      </c>
      <c r="D39" s="329" t="str">
        <f>IF(A39="","",LOOKUP(A39,'Cadastro de BC - Servidores'!$A$14:$A$130,'Cadastro de BC - Servidores'!$I$14:$I$130))</f>
        <v>082.057.055-93</v>
      </c>
      <c r="E39" s="329" t="str">
        <f>IF(A39="","",LOOKUP(A39,'Cadastro de BC - Servidores'!$A$14:$A$130,'Cadastro de BC - Servidores'!$J$14:$J$130))</f>
        <v>047/029</v>
      </c>
      <c r="F39" s="354" t="str">
        <f>IF(A39="","",LOOKUP(A39,'Cadastro de BC - Servidores'!$A$14:$A$130,'Cadastro de BC - Servidores'!$K$14:$K$130))</f>
        <v>02/204.535-8</v>
      </c>
      <c r="G39" s="329">
        <f>IF(A39="","",LOOKUP(A39,'Cadastro de BC - Servidores'!$A$14:$A$130,'Cadastro de BC - Servidores'!$L$14:$L$130))</f>
        <v>0.65</v>
      </c>
      <c r="H39" s="377">
        <f>IF(A39="","",LOOKUP(A39,'Cadastro de BC - Servidores'!$A$14:$A$130,'Cadastro de BC - Servidores'!$O$14:$O$130))</f>
        <v>1176.5</v>
      </c>
      <c r="I39" s="356">
        <f>IF(A39="","",LOOKUP(A39,'Cadastro de BC - Servidores'!$A$14:$A$130,'Cadastro de BC - Servidores'!$T$14:$T$130))</f>
        <v>105.88500000000001</v>
      </c>
      <c r="J39" s="378">
        <f>IF(A39="","",LOOKUP(A39,'Cadastro de BC - Servidores'!$A$14:$A$130,'Cadastro de BC - Servidores'!$AB$14:$AB$130))</f>
        <v>3.4473749999999939</v>
      </c>
      <c r="K39" s="379">
        <f>IF(A39="","",LOOKUP(A39,'Cadastro de BC - Servidores'!$A$14:$A$130,'Cadastro de BC - Servidores'!$AC$14:$AC$130))</f>
        <v>0</v>
      </c>
      <c r="L39" s="379">
        <f>IF(A39="","",LOOKUP(A39,'Cadastro de BC - Servidores'!$A$14:$A$130,'Cadastro de BC - Servidores'!$AD$14:$AD$130))</f>
        <v>0</v>
      </c>
      <c r="M39" s="380">
        <f t="shared" si="0"/>
        <v>109.332375</v>
      </c>
      <c r="N39" s="379">
        <f>IF(A39="","",LOOKUP(A39,'Cadastro de BC - Servidores'!$A$14:$A$130,'Cadastro de BC - Servidores'!$AE$14:$AE$130))</f>
        <v>0</v>
      </c>
      <c r="O39" s="381">
        <f t="shared" si="1"/>
        <v>1067.167625</v>
      </c>
      <c r="P39" s="475"/>
    </row>
    <row r="40" spans="1:19" ht="12.95" customHeight="1" x14ac:dyDescent="0.25">
      <c r="A40" s="474">
        <v>37</v>
      </c>
      <c r="B40" s="353" t="str">
        <f>IF(A40="","",LOOKUP($A40,'Cadastro de BC - Servidores'!A35:B150))</f>
        <v>Itamar Sandes Santos</v>
      </c>
      <c r="C40" s="354">
        <f>IF(A40="","",LOOKUP(A40,'Cadastro de BC - Servidores'!$A$14:$A$130,'Cadastro de BC - Servidores'!$H$14:$H$130))</f>
        <v>724807847</v>
      </c>
      <c r="D40" s="329" t="str">
        <f>IF(A40="","",LOOKUP(A40,'Cadastro de BC - Servidores'!$A$14:$A$130,'Cadastro de BC - Servidores'!$I$14:$I$130))</f>
        <v>930.885.405-30</v>
      </c>
      <c r="E40" s="329" t="str">
        <f>IF(A40="","",LOOKUP(A40,'Cadastro de BC - Servidores'!$A$14:$A$130,'Cadastro de BC - Servidores'!$J$14:$J$130))</f>
        <v>047/061</v>
      </c>
      <c r="F40" s="354">
        <f>IF(A40="","",LOOKUP(A40,'Cadastro de BC - Servidores'!$A$14:$A$130,'Cadastro de BC - Servidores'!$K$14:$K$130))</f>
        <v>63929</v>
      </c>
      <c r="G40" s="329">
        <f>IF(A40="","",LOOKUP(A40,'Cadastro de BC - Servidores'!$A$14:$A$130,'Cadastro de BC - Servidores'!$L$14:$L$130))</f>
        <v>1.4</v>
      </c>
      <c r="H40" s="377">
        <f>IF(A40="","",LOOKUP(A40,'Cadastro de BC - Servidores'!$A$14:$A$130,'Cadastro de BC - Servidores'!$O$14:$O$130))</f>
        <v>2533.9999999999995</v>
      </c>
      <c r="I40" s="356">
        <f>IF(A40="","",LOOKUP(A40,'Cadastro de BC - Servidores'!$A$14:$A$130,'Cadastro de BC - Servidores'!$T$14:$T$130))</f>
        <v>334.09759999999994</v>
      </c>
      <c r="J40" s="378">
        <f>IF(A40="","",LOOKUP(A40,'Cadastro de BC - Servidores'!$A$14:$A$130,'Cadastro de BC - Servidores'!$AB$14:$AB$130))</f>
        <v>451.03871000000004</v>
      </c>
      <c r="K40" s="379">
        <f>IF(A40="","",LOOKUP(A40,'Cadastro de BC - Servidores'!$A$14:$A$130,'Cadastro de BC - Servidores'!$AC$14:$AC$130))</f>
        <v>0</v>
      </c>
      <c r="L40" s="379">
        <f>IF(A40="","",LOOKUP(A40,'Cadastro de BC - Servidores'!$A$14:$A$130,'Cadastro de BC - Servidores'!$AD$14:$AD$130))</f>
        <v>0</v>
      </c>
      <c r="M40" s="380">
        <f t="shared" ref="M40" si="5">I40+J40+L40+K40</f>
        <v>785.13630999999998</v>
      </c>
      <c r="N40" s="379">
        <f>IF(A40="","",LOOKUP(A40,'Cadastro de BC - Servidores'!$A$14:$A$130,'Cadastro de BC - Servidores'!$AE$14:$AE$130))</f>
        <v>0</v>
      </c>
      <c r="O40" s="381">
        <f t="shared" si="1"/>
        <v>1748.8636899999997</v>
      </c>
      <c r="P40" s="475"/>
    </row>
    <row r="41" spans="1:19" ht="12.95" customHeight="1" x14ac:dyDescent="0.25">
      <c r="A41" s="274">
        <v>39</v>
      </c>
      <c r="B41" s="353" t="str">
        <f>IF(A41="","",LOOKUP($A41,'Cadastro de BC - Servidores'!A36:B151))</f>
        <v>Carlos André Carvalho Santana Souza</v>
      </c>
      <c r="C41" s="354" t="str">
        <f>IF(A41="","",LOOKUP(A41,'Cadastro de BC - Servidores'!$A$14:$A$130,'Cadastro de BC - Servidores'!$H$14:$H$130))</f>
        <v>3.557.736-3</v>
      </c>
      <c r="D41" s="329" t="str">
        <f>IF(A41="","",LOOKUP(A41,'Cadastro de BC - Servidores'!$A$14:$A$130,'Cadastro de BC - Servidores'!$I$14:$I$130))</f>
        <v>061.770.515-10</v>
      </c>
      <c r="E41" s="329" t="str">
        <f>IF(A41="","",LOOKUP(A41,'Cadastro de BC - Servidores'!$A$14:$A$130,'Cadastro de BC - Servidores'!$J$14:$J$130))</f>
        <v>047/015</v>
      </c>
      <c r="F41" s="354" t="str">
        <f>IF(A41="","",LOOKUP(A41,'Cadastro de BC - Servidores'!$A$14:$A$130,'Cadastro de BC - Servidores'!$K$14:$K$130))</f>
        <v>087131-2</v>
      </c>
      <c r="G41" s="329">
        <f>IF(A41="","",LOOKUP(A41,'Cadastro de BC - Servidores'!$A$14:$A$130,'Cadastro de BC - Servidores'!$L$14:$L$130))</f>
        <v>0.8</v>
      </c>
      <c r="H41" s="377">
        <f>IF(A41="","",LOOKUP(A41,'Cadastro de BC - Servidores'!$A$14:$A$130,'Cadastro de BC - Servidores'!$O$14:$O$130))</f>
        <v>1448</v>
      </c>
      <c r="I41" s="356">
        <f>IF(A41="","",LOOKUP(A41,'Cadastro de BC - Servidores'!$A$14:$A$130,'Cadastro de BC - Servidores'!$T$14:$T$130))</f>
        <v>108.59999999999998</v>
      </c>
      <c r="J41" s="378">
        <f>IF(A41="","",LOOKUP(A41,'Cadastro de BC - Servidores'!$A$14:$A$130,'Cadastro de BC - Servidores'!$AB$14:$AB$130))</f>
        <v>0</v>
      </c>
      <c r="K41" s="379">
        <f>IF(A41="","",LOOKUP(A41,'Cadastro de BC - Servidores'!$A$14:$A$130,'Cadastro de BC - Servidores'!$AC$14:$AC$130))</f>
        <v>0</v>
      </c>
      <c r="L41" s="379">
        <f>IF(A41="","",LOOKUP(A41,'Cadastro de BC - Servidores'!$A$14:$A$130,'Cadastro de BC - Servidores'!$AD$14:$AD$130))</f>
        <v>0</v>
      </c>
      <c r="M41" s="380">
        <f t="shared" si="0"/>
        <v>108.59999999999998</v>
      </c>
      <c r="N41" s="379">
        <f>IF(A41="","",LOOKUP(A41,'Cadastro de BC - Servidores'!$A$14:$A$130,'Cadastro de BC - Servidores'!$AE$14:$AE$130))</f>
        <v>0</v>
      </c>
      <c r="O41" s="381">
        <f t="shared" si="1"/>
        <v>1339.4</v>
      </c>
      <c r="P41" s="396"/>
    </row>
    <row r="42" spans="1:19" ht="12.95" customHeight="1" x14ac:dyDescent="0.25">
      <c r="A42" s="474">
        <v>45</v>
      </c>
      <c r="B42" s="353" t="str">
        <f>IF(A42="","",LOOKUP($A42,'Cadastro de BC - Servidores'!A37:B152))</f>
        <v>André Rodrigues Freire Menezes Lucas</v>
      </c>
      <c r="C42" s="354">
        <f>IF(A42="","",LOOKUP(A42,'Cadastro de BC - Servidores'!$A$14:$A$130,'Cadastro de BC - Servidores'!$H$14:$H$130))</f>
        <v>33777179</v>
      </c>
      <c r="D42" s="329" t="str">
        <f>IF(A42="","",LOOKUP(A42,'Cadastro de BC - Servidores'!$A$14:$A$130,'Cadastro de BC - Servidores'!$I$14:$I$130))</f>
        <v>041.480.405-80</v>
      </c>
      <c r="E42" s="329" t="str">
        <f>IF(A42="","",LOOKUP(A42,'Cadastro de BC - Servidores'!$A$14:$A$130,'Cadastro de BC - Servidores'!$J$14:$J$130))</f>
        <v>047/035</v>
      </c>
      <c r="F42" s="354" t="str">
        <f>IF(A42="","",LOOKUP(A42,'Cadastro de BC - Servidores'!$A$14:$A$130,'Cadastro de BC - Servidores'!$K$14:$K$130))</f>
        <v>01/043186-4</v>
      </c>
      <c r="G42" s="329">
        <f>IF(A42="","",LOOKUP(A42,'Cadastro de BC - Servidores'!$A$14:$A$130,'Cadastro de BC - Servidores'!$L$14:$L$130))</f>
        <v>0.75</v>
      </c>
      <c r="H42" s="377">
        <f>IF(A42="","",LOOKUP(A42,'Cadastro de BC - Servidores'!$A$14:$A$130,'Cadastro de BC - Servidores'!$O$14:$O$130))</f>
        <v>1357.5</v>
      </c>
      <c r="I42" s="356">
        <f>IF(A42="","",LOOKUP(A42,'Cadastro de BC - Servidores'!$A$14:$A$130,'Cadastro de BC - Servidores'!$T$14:$T$130))</f>
        <v>101.81249999999997</v>
      </c>
      <c r="J42" s="378">
        <f>IF(A42="","",LOOKUP(A42,'Cadastro de BC - Servidores'!$A$14:$A$130,'Cadastro de BC - Servidores'!$AB$14:$AB$130))</f>
        <v>0</v>
      </c>
      <c r="K42" s="379">
        <f>IF(A42="","",LOOKUP(A42,'Cadastro de BC - Servidores'!$A$14:$A$130,'Cadastro de BC - Servidores'!$AC$14:$AC$130))</f>
        <v>0</v>
      </c>
      <c r="L42" s="379">
        <f>IF(A42="","",LOOKUP(A42,'Cadastro de BC - Servidores'!$A$14:$A$130,'Cadastro de BC - Servidores'!$AD$14:$AD$130))</f>
        <v>0</v>
      </c>
      <c r="M42" s="380">
        <f>I42+J42+L42+K42</f>
        <v>101.81249999999997</v>
      </c>
      <c r="N42" s="379">
        <f>IF(A42="","",LOOKUP(A42,'Cadastro de BC - Servidores'!$A$14:$A$130,'Cadastro de BC - Servidores'!$AE$14:$AE$130))</f>
        <v>0</v>
      </c>
      <c r="O42" s="381">
        <f t="shared" si="1"/>
        <v>1255.6875</v>
      </c>
      <c r="P42" s="475"/>
    </row>
    <row r="43" spans="1:19" ht="12.95" customHeight="1" x14ac:dyDescent="0.25">
      <c r="A43" s="474">
        <v>54</v>
      </c>
      <c r="B43" s="353" t="str">
        <f>IF(A43="","",LOOKUP($A43,'Cadastro de BC - Servidores'!A38:B153))</f>
        <v>Maria Angélica Felizola Leão</v>
      </c>
      <c r="C43" s="354">
        <f>IF(A43="","",LOOKUP(A43,'Cadastro de BC - Servidores'!$A$14:$A$130,'Cadastro de BC - Servidores'!$H$14:$H$130))</f>
        <v>781747</v>
      </c>
      <c r="D43" s="329" t="str">
        <f>IF(A43="","",LOOKUP(A43,'Cadastro de BC - Servidores'!$A$14:$A$130,'Cadastro de BC - Servidores'!$I$14:$I$130))</f>
        <v>368.837.605-63</v>
      </c>
      <c r="E43" s="329" t="str">
        <f>IF(A43="","",LOOKUP(A43,'Cadastro de BC - Servidores'!$A$14:$A$130,'Cadastro de BC - Servidores'!$J$14:$J$130))</f>
        <v>047/051</v>
      </c>
      <c r="F43" s="354" t="str">
        <f>IF(A43="","",LOOKUP(A43,'Cadastro de BC - Servidores'!$A$14:$A$130,'Cadastro de BC - Servidores'!$K$14:$K$130))</f>
        <v>010023067-7</v>
      </c>
      <c r="G43" s="329">
        <f>IF(A43="","",LOOKUP(A43,'Cadastro de BC - Servidores'!$A$14:$A$130,'Cadastro de BC - Servidores'!$L$14:$L$130))</f>
        <v>0.41</v>
      </c>
      <c r="H43" s="377">
        <f>IF(A43="","",LOOKUP(A43,'Cadastro de BC - Servidores'!$A$14:$A$130,'Cadastro de BC - Servidores'!$O$14:$O$130))</f>
        <v>742.09999999999991</v>
      </c>
      <c r="I43" s="356">
        <f>IF(A43="","",LOOKUP(A43,'Cadastro de BC - Servidores'!$A$14:$A$130,'Cadastro de BC - Servidores'!$T$14:$T$130))</f>
        <v>55.657499999999978</v>
      </c>
      <c r="J43" s="378">
        <f>IF(A43="","",LOOKUP(A43,'Cadastro de BC - Servidores'!$A$14:$A$130,'Cadastro de BC - Servidores'!$AB$14:$AB$130))</f>
        <v>0</v>
      </c>
      <c r="K43" s="379">
        <f>IF(A43="","",LOOKUP(A43,'Cadastro de BC - Servidores'!$A$14:$A$130,'Cadastro de BC - Servidores'!$AC$14:$AC$130))</f>
        <v>0</v>
      </c>
      <c r="L43" s="379">
        <f>IF(A43="","",LOOKUP(A43,'Cadastro de BC - Servidores'!$A$14:$A$130,'Cadastro de BC - Servidores'!$AD$14:$AD$130))</f>
        <v>0</v>
      </c>
      <c r="M43" s="380">
        <f>I43+J43+L43+K43</f>
        <v>55.657499999999978</v>
      </c>
      <c r="N43" s="379">
        <f>IF(A43="","",LOOKUP(A43,'Cadastro de BC - Servidores'!$A$14:$A$130,'Cadastro de BC - Servidores'!$AE$14:$AE$130))</f>
        <v>0</v>
      </c>
      <c r="O43" s="381">
        <f t="shared" si="1"/>
        <v>686.44249999999988</v>
      </c>
      <c r="P43" s="475"/>
    </row>
    <row r="44" spans="1:19" ht="12.95" customHeight="1" x14ac:dyDescent="0.25">
      <c r="A44" s="474">
        <v>72</v>
      </c>
      <c r="B44" s="353" t="str">
        <f>IF(A44="","",LOOKUP($A44,'Cadastro de BC - Servidores'!A39:B154))</f>
        <v>Kleverton Carlos Mendonca Nascimento</v>
      </c>
      <c r="C44" s="354">
        <f>IF(A44="","",LOOKUP(A44,'Cadastro de BC - Servidores'!$A$14:$A$130,'Cadastro de BC - Servidores'!$H$14:$H$130))</f>
        <v>1399566</v>
      </c>
      <c r="D44" s="329" t="str">
        <f>IF(A44="","",LOOKUP(A44,'Cadastro de BC - Servidores'!$A$14:$A$130,'Cadastro de BC - Servidores'!$I$14:$I$130))</f>
        <v>009.221.245-07</v>
      </c>
      <c r="E44" s="329" t="str">
        <f>IF(A44="","",LOOKUP(A44,'Cadastro de BC - Servidores'!$A$14:$A$130,'Cadastro de BC - Servidores'!$J$14:$J$130))</f>
        <v>047/048</v>
      </c>
      <c r="F44" s="354">
        <f>IF(A44="","",LOOKUP(A44,'Cadastro de BC - Servidores'!$A$14:$A$130,'Cadastro de BC - Servidores'!$K$14:$K$130))</f>
        <v>10135159</v>
      </c>
      <c r="G44" s="329">
        <f>IF(A44="","",LOOKUP(A44,'Cadastro de BC - Servidores'!$A$14:$A$130,'Cadastro de BC - Servidores'!$L$14:$L$130))</f>
        <v>1.1499999999999999</v>
      </c>
      <c r="H44" s="377">
        <f>IF(A44="","",LOOKUP(A44,'Cadastro de BC - Servidores'!$A$14:$A$130,'Cadastro de BC - Servidores'!$O$14:$O$130))</f>
        <v>2081.5</v>
      </c>
      <c r="I44" s="356">
        <f>IF(A44="","",LOOKUP(A44,'Cadastro de BC - Servidores'!$A$14:$A$130,'Cadastro de BC - Servidores'!$T$14:$T$130))</f>
        <v>164.56499999999997</v>
      </c>
      <c r="J44" s="378">
        <f>IF(A44="","",LOOKUP(A44,'Cadastro de BC - Servidores'!$A$14:$A$130,'Cadastro de BC - Servidores'!$AB$14:$AB$130))</f>
        <v>0</v>
      </c>
      <c r="K44" s="379">
        <f>IF(A44="","",LOOKUP(A44,'Cadastro de BC - Servidores'!$A$14:$A$130,'Cadastro de BC - Servidores'!$AC$14:$AC$130))</f>
        <v>0</v>
      </c>
      <c r="L44" s="379">
        <f>IF(A44="","",LOOKUP(A44,'Cadastro de BC - Servidores'!$A$14:$A$130,'Cadastro de BC - Servidores'!$AD$14:$AD$130))</f>
        <v>0</v>
      </c>
      <c r="M44" s="380">
        <f>I44+J44+L44+K44</f>
        <v>164.56499999999997</v>
      </c>
      <c r="N44" s="379">
        <f>IF(A44="","",LOOKUP(A44,'Cadastro de BC - Servidores'!$A$14:$A$130,'Cadastro de BC - Servidores'!$AE$14:$AE$130))</f>
        <v>0</v>
      </c>
      <c r="O44" s="381">
        <f t="shared" si="1"/>
        <v>1916.9349999999999</v>
      </c>
      <c r="P44" s="475"/>
    </row>
    <row r="45" spans="1:19" ht="12.95" customHeight="1" x14ac:dyDescent="0.25">
      <c r="A45" s="274">
        <v>87</v>
      </c>
      <c r="B45" s="353" t="str">
        <f>IF(A45="","",LOOKUP($A45,'Cadastro de BC - Servidores'!A36:B151))</f>
        <v>Tâmara Karoline de Oliveira Fontes</v>
      </c>
      <c r="C45" s="354" t="str">
        <f>IF(A45="","",LOOKUP(A45,'Cadastro de BC - Servidores'!$A$14:$A$130,'Cadastro de BC - Servidores'!$H$14:$H$130))</f>
        <v>318.488.50</v>
      </c>
      <c r="D45" s="329" t="str">
        <f>IF(A45="","",LOOKUP(A45,'Cadastro de BC - Servidores'!$A$14:$A$130,'Cadastro de BC - Servidores'!$I$14:$I$130))</f>
        <v>040.446.101-85</v>
      </c>
      <c r="E45" s="329" t="str">
        <f>IF(A45="","",LOOKUP(A45,'Cadastro de BC - Servidores'!$A$14:$A$130,'Cadastro de BC - Servidores'!$J$14:$J$130))</f>
        <v>047/065</v>
      </c>
      <c r="F45" s="354" t="str">
        <f>IF(A45="","",LOOKUP(A45,'Cadastro de BC - Servidores'!$A$14:$A$130,'Cadastro de BC - Servidores'!$K$14:$K$130))</f>
        <v>011718-5</v>
      </c>
      <c r="G45" s="329">
        <f>IF(A45="","",LOOKUP(A45,'Cadastro de BC - Servidores'!$A$14:$A$130,'Cadastro de BC - Servidores'!$L$14:$L$130))</f>
        <v>0.95</v>
      </c>
      <c r="H45" s="377">
        <f>IF(A45="","",LOOKUP(A45,'Cadastro de BC - Servidores'!$A$14:$A$130,'Cadastro de BC - Servidores'!$O$14:$O$130))</f>
        <v>1719.5</v>
      </c>
      <c r="I45" s="356">
        <f>IF(A45="","",LOOKUP(A45,'Cadastro de BC - Servidores'!$A$14:$A$130,'Cadastro de BC - Servidores'!$T$14:$T$130))</f>
        <v>181.56120000000004</v>
      </c>
      <c r="J45" s="378">
        <f>IF(A45="","",LOOKUP(A45,'Cadastro de BC - Servidores'!$A$14:$A$130,'Cadastro de BC - Servidores'!$AB$14:$AB$130))</f>
        <v>108.58377999999993</v>
      </c>
      <c r="K45" s="379">
        <f>IF(A45="","",LOOKUP(A45,'Cadastro de BC - Servidores'!$A$14:$A$130,'Cadastro de BC - Servidores'!$AC$14:$AC$130))</f>
        <v>0</v>
      </c>
      <c r="L45" s="379">
        <f>IF(A45="","",LOOKUP(A45,'Cadastro de BC - Servidores'!$A$14:$A$130,'Cadastro de BC - Servidores'!$AD$14:$AD$130))</f>
        <v>0</v>
      </c>
      <c r="M45" s="380">
        <f t="shared" si="0"/>
        <v>290.14497999999998</v>
      </c>
      <c r="N45" s="379">
        <f>IF(A45="","",LOOKUP(A45,'Cadastro de BC - Servidores'!$A$14:$A$130,'Cadastro de BC - Servidores'!$AE$14:$AE$130))</f>
        <v>0</v>
      </c>
      <c r="O45" s="381">
        <f t="shared" si="1"/>
        <v>1429.35502</v>
      </c>
      <c r="P45" s="475"/>
    </row>
    <row r="46" spans="1:19" ht="12.95" customHeight="1" x14ac:dyDescent="0.25">
      <c r="A46" s="274">
        <v>88</v>
      </c>
      <c r="B46" s="353" t="str">
        <f>IF(A46="","",LOOKUP($A46,'Cadastro de BC - Servidores'!A37:B152))</f>
        <v xml:space="preserve">Gabriela Gonçalves Santos de Oliveira </v>
      </c>
      <c r="C46" s="354" t="str">
        <f>IF(A46="","",LOOKUP(A46,'Cadastro de BC - Servidores'!$A$14:$A$130,'Cadastro de BC - Servidores'!$H$14:$H$130))</f>
        <v>120.773.937-5</v>
      </c>
      <c r="D46" s="329" t="str">
        <f>IF(A46="","",LOOKUP(A46,'Cadastro de BC - Servidores'!$A$14:$A$130,'Cadastro de BC - Servidores'!$I$14:$I$130))</f>
        <v>052.897.235-95</v>
      </c>
      <c r="E46" s="329" t="str">
        <f>IF(A46="","",LOOKUP(A46,'Cadastro de BC - Servidores'!$A$14:$A$130,'Cadastro de BC - Servidores'!$J$14:$J$130))</f>
        <v>047/058</v>
      </c>
      <c r="F46" s="354" t="str">
        <f>IF(A46="","",LOOKUP(A46,'Cadastro de BC - Servidores'!$A$14:$A$130,'Cadastro de BC - Servidores'!$K$14:$K$130))</f>
        <v>202041-3</v>
      </c>
      <c r="G46" s="329">
        <f>IF(A46="","",LOOKUP(A46,'Cadastro de BC - Servidores'!$A$14:$A$130,'Cadastro de BC - Servidores'!$L$14:$L$130))</f>
        <v>1.1000000000000001</v>
      </c>
      <c r="H46" s="377">
        <f>IF(A46="","",LOOKUP(A46,'Cadastro de BC - Servidores'!$A$14:$A$130,'Cadastro de BC - Servidores'!$O$14:$O$130))</f>
        <v>1991.0000000000002</v>
      </c>
      <c r="I46" s="356">
        <f>IF(A46="","",LOOKUP(A46,'Cadastro de BC - Servidores'!$A$14:$A$130,'Cadastro de BC - Servidores'!$T$14:$T$130))</f>
        <v>214.14119999999997</v>
      </c>
      <c r="J46" s="378">
        <f>IF(A46="","",LOOKUP(A46,'Cadastro de BC - Servidores'!$A$14:$A$130,'Cadastro de BC - Servidores'!$AB$14:$AB$130))</f>
        <v>144.42178000000007</v>
      </c>
      <c r="K46" s="379">
        <f>IF(A46="","",LOOKUP(A46,'Cadastro de BC - Servidores'!$A$14:$A$130,'Cadastro de BC - Servidores'!$AC$14:$AC$130))</f>
        <v>0</v>
      </c>
      <c r="L46" s="379">
        <f>IF(A46="","",LOOKUP(A46,'Cadastro de BC - Servidores'!$A$14:$A$130,'Cadastro de BC - Servidores'!$AD$14:$AD$130))</f>
        <v>0</v>
      </c>
      <c r="M46" s="380">
        <f t="shared" si="0"/>
        <v>358.56298000000004</v>
      </c>
      <c r="N46" s="379">
        <f>IF(A46="","",LOOKUP(A46,'Cadastro de BC - Servidores'!$A$14:$A$130,'Cadastro de BC - Servidores'!$AE$14:$AE$130))</f>
        <v>0</v>
      </c>
      <c r="O46" s="381">
        <f t="shared" si="1"/>
        <v>1632.4370200000003</v>
      </c>
      <c r="P46" s="475"/>
    </row>
    <row r="47" spans="1:19" ht="12.95" customHeight="1" x14ac:dyDescent="0.25">
      <c r="A47" s="274">
        <v>89</v>
      </c>
      <c r="B47" s="353" t="str">
        <f>IF(A47="","",LOOKUP($A47,'Cadastro de BC - Servidores'!A37:B152))</f>
        <v>Luiz Mario da Silva Junior</v>
      </c>
      <c r="C47" s="354">
        <f>IF(A47="","",LOOKUP(A47,'Cadastro de BC - Servidores'!$A$14:$A$130,'Cadastro de BC - Servidores'!$H$14:$H$130))</f>
        <v>227042</v>
      </c>
      <c r="D47" s="329" t="str">
        <f>IF(A47="","",LOOKUP(A47,'Cadastro de BC - Servidores'!$A$14:$A$130,'Cadastro de BC - Servidores'!$I$14:$I$130))</f>
        <v>494.520.107-20</v>
      </c>
      <c r="E47" s="329" t="str">
        <f>IF(A47="","",LOOKUP(A47,'Cadastro de BC - Servidores'!$A$14:$A$130,'Cadastro de BC - Servidores'!$J$14:$J$130))</f>
        <v>047/034</v>
      </c>
      <c r="F47" s="354" t="str">
        <f>IF(A47="","",LOOKUP(A47,'Cadastro de BC - Servidores'!$A$14:$A$130,'Cadastro de BC - Servidores'!$K$14:$K$130))</f>
        <v>014620-7</v>
      </c>
      <c r="G47" s="329">
        <f>IF(A47="","",LOOKUP(A47,'Cadastro de BC - Servidores'!$A$14:$A$130,'Cadastro de BC - Servidores'!$L$14:$L$130))</f>
        <v>2.2999999999999998</v>
      </c>
      <c r="H47" s="377">
        <f>IF(A47="","",LOOKUP(A47,'Cadastro de BC - Servidores'!$A$14:$A$130,'Cadastro de BC - Servidores'!$O$14:$O$130))</f>
        <v>4163</v>
      </c>
      <c r="I47" s="356">
        <f>IF(A47="","",LOOKUP(A47,'Cadastro de BC - Servidores'!$A$14:$A$130,'Cadastro de BC - Servidores'!$T$14:$T$130))</f>
        <v>0</v>
      </c>
      <c r="J47" s="378">
        <f>IF(A47="","",LOOKUP(A47,'Cadastro de BC - Servidores'!$A$14:$A$130,'Cadastro de BC - Servidores'!$AB$14:$AB$130))</f>
        <v>1144.8250000000007</v>
      </c>
      <c r="K47" s="379">
        <f>IF(A47="","",LOOKUP(A47,'Cadastro de BC - Servidores'!$A$14:$A$130,'Cadastro de BC - Servidores'!$AC$14:$AC$130))</f>
        <v>0</v>
      </c>
      <c r="L47" s="379">
        <f>IF(A47="","",LOOKUP(A47,'Cadastro de BC - Servidores'!$A$14:$A$130,'Cadastro de BC - Servidores'!$AD$14:$AD$130))</f>
        <v>0</v>
      </c>
      <c r="M47" s="380">
        <f t="shared" si="0"/>
        <v>1144.8250000000007</v>
      </c>
      <c r="N47" s="379">
        <f>IF(A47="","",LOOKUP(A47,'Cadastro de BC - Servidores'!$A$14:$A$130,'Cadastro de BC - Servidores'!$AE$14:$AE$130))</f>
        <v>0</v>
      </c>
      <c r="O47" s="381">
        <f t="shared" si="1"/>
        <v>3018.1749999999993</v>
      </c>
      <c r="P47" s="475"/>
      <c r="S47" s="86"/>
    </row>
    <row r="48" spans="1:19" ht="12.95" customHeight="1" x14ac:dyDescent="0.25">
      <c r="A48" s="274">
        <v>92</v>
      </c>
      <c r="B48" s="353" t="str">
        <f>IF(A48="","",LOOKUP($A48,'Cadastro de BC - Servidores'!A38:B153))</f>
        <v>Eliene Andrade da Silva</v>
      </c>
      <c r="C48" s="354">
        <f>IF(A48="","",LOOKUP(A48,'Cadastro de BC - Servidores'!$A$14:$A$130,'Cadastro de BC - Servidores'!$H$14:$H$130))</f>
        <v>745535429</v>
      </c>
      <c r="D48" s="329" t="str">
        <f>IF(A48="","",LOOKUP(A48,'Cadastro de BC - Servidores'!$A$14:$A$130,'Cadastro de BC - Servidores'!$I$14:$I$130))</f>
        <v>782.322.105-59</v>
      </c>
      <c r="E48" s="329" t="str">
        <f>IF(A48="","",LOOKUP(A48,'Cadastro de BC - Servidores'!$A$14:$A$130,'Cadastro de BC - Servidores'!$J$14:$J$130))</f>
        <v>047/54</v>
      </c>
      <c r="F48" s="354">
        <f>IF(A48="","",LOOKUP(A48,'Cadastro de BC - Servidores'!$A$14:$A$130,'Cadastro de BC - Servidores'!$K$14:$K$130))</f>
        <v>2019838</v>
      </c>
      <c r="G48" s="329">
        <f>IF(A48="","",LOOKUP(A48,'Cadastro de BC - Servidores'!$A$14:$A$130,'Cadastro de BC - Servidores'!$L$14:$L$130))</f>
        <v>1</v>
      </c>
      <c r="H48" s="377">
        <f>IF(A48="","",LOOKUP(A48,'Cadastro de BC - Servidores'!$A$14:$A$130,'Cadastro de BC - Servidores'!$O$14:$O$130))</f>
        <v>1810</v>
      </c>
      <c r="I48" s="356">
        <f>IF(A48="","",LOOKUP(A48,'Cadastro de BC - Servidores'!$A$14:$A$130,'Cadastro de BC - Servidores'!$T$14:$T$130))</f>
        <v>178.92000000000002</v>
      </c>
      <c r="J48" s="378">
        <f>IF(A48="","",LOOKUP(A48,'Cadastro de BC - Servidores'!$A$14:$A$130,'Cadastro de BC - Servidores'!$AB$14:$AB$130))</f>
        <v>61.124499999999955</v>
      </c>
      <c r="K48" s="379">
        <f>IF(A48="","",LOOKUP(A48,'Cadastro de BC - Servidores'!$A$14:$A$130,'Cadastro de BC - Servidores'!$AC$14:$AC$130))</f>
        <v>0</v>
      </c>
      <c r="L48" s="379">
        <f>IF(A48="","",LOOKUP(A48,'Cadastro de BC - Servidores'!$A$14:$A$130,'Cadastro de BC - Servidores'!$AD$14:$AD$130))</f>
        <v>0</v>
      </c>
      <c r="M48" s="380">
        <f t="shared" si="0"/>
        <v>240.04449999999997</v>
      </c>
      <c r="N48" s="379">
        <f>IF(A48="","",LOOKUP(A48,'Cadastro de BC - Servidores'!$A$14:$A$130,'Cadastro de BC - Servidores'!$AE$14:$AE$130))</f>
        <v>0</v>
      </c>
      <c r="O48" s="381">
        <f t="shared" si="1"/>
        <v>1569.9555</v>
      </c>
      <c r="P48" s="475"/>
      <c r="S48" s="86"/>
    </row>
    <row r="49" spans="1:19" ht="12.95" customHeight="1" x14ac:dyDescent="0.25">
      <c r="A49" s="274">
        <v>93</v>
      </c>
      <c r="B49" s="353" t="str">
        <f>IF(A49="","",LOOKUP($A49,'Cadastro de BC - Servidores'!A39:B154))</f>
        <v>Marcela Costa Ribeiro Santos</v>
      </c>
      <c r="C49" s="354" t="str">
        <f>IF(A49="","",LOOKUP(A49,'Cadastro de BC - Servidores'!$A$14:$A$130,'Cadastro de BC - Servidores'!$H$14:$H$130))</f>
        <v>3.092.089-2</v>
      </c>
      <c r="D49" s="329" t="str">
        <f>IF(A49="","",LOOKUP(A49,'Cadastro de BC - Servidores'!$A$14:$A$130,'Cadastro de BC - Servidores'!$I$14:$I$130))</f>
        <v>018.511.195-58</v>
      </c>
      <c r="E49" s="329" t="str">
        <f>IF(A49="","",LOOKUP(A49,'Cadastro de BC - Servidores'!$A$14:$A$130,'Cadastro de BC - Servidores'!$J$14:$J$130))</f>
        <v>BB/1603-9</v>
      </c>
      <c r="F49" s="354" t="str">
        <f>IF(A49="","",LOOKUP(A49,'Cadastro de BC - Servidores'!$A$14:$A$130,'Cadastro de BC - Servidores'!$K$14:$K$130))</f>
        <v>20129-4</v>
      </c>
      <c r="G49" s="329">
        <f>IF(A49="","",LOOKUP(A49,'Cadastro de BC - Servidores'!$A$14:$A$130,'Cadastro de BC - Servidores'!$L$14:$L$130))</f>
        <v>0.75</v>
      </c>
      <c r="H49" s="377">
        <f>IF(A49="","",LOOKUP(A49,'Cadastro de BC - Servidores'!$A$14:$A$130,'Cadastro de BC - Servidores'!$O$14:$O$130))</f>
        <v>1357.5</v>
      </c>
      <c r="I49" s="356">
        <f>IF(A49="","",LOOKUP(A49,'Cadastro de BC - Servidores'!$A$14:$A$130,'Cadastro de BC - Servidores'!$T$14:$T$130))</f>
        <v>101.81249999999997</v>
      </c>
      <c r="J49" s="378">
        <f>IF(A49="","",LOOKUP(A49,'Cadastro de BC - Servidores'!$A$14:$A$130,'Cadastro de BC - Servidores'!$AB$14:$AB$130))</f>
        <v>0</v>
      </c>
      <c r="K49" s="379">
        <f>IF(A49="","",LOOKUP(A49,'Cadastro de BC - Servidores'!$A$14:$A$130,'Cadastro de BC - Servidores'!$AC$14:$AC$130))</f>
        <v>0</v>
      </c>
      <c r="L49" s="379">
        <f>IF(A49="","",LOOKUP(A49,'Cadastro de BC - Servidores'!$A$14:$A$130,'Cadastro de BC - Servidores'!$AD$14:$AD$130))</f>
        <v>0</v>
      </c>
      <c r="M49" s="380">
        <f t="shared" si="0"/>
        <v>101.81249999999997</v>
      </c>
      <c r="N49" s="379">
        <f>IF(A49="","",LOOKUP(A49,'Cadastro de BC - Servidores'!$A$14:$A$130,'Cadastro de BC - Servidores'!$AE$14:$AE$130))</f>
        <v>0</v>
      </c>
      <c r="O49" s="381">
        <f t="shared" si="1"/>
        <v>1255.6875</v>
      </c>
      <c r="P49" s="475"/>
      <c r="S49" s="86"/>
    </row>
    <row r="50" spans="1:19" ht="12.95" customHeight="1" x14ac:dyDescent="0.25">
      <c r="A50" s="274">
        <v>95</v>
      </c>
      <c r="B50" s="353" t="str">
        <f>IF(A50="","",LOOKUP($A50,'Cadastro de BC - Servidores'!A40:B155))</f>
        <v>Manoel Lisboa Feitosa Júnior</v>
      </c>
      <c r="C50" s="354" t="str">
        <f>IF(A50="","",LOOKUP(A50,'Cadastro de BC - Servidores'!$A$14:$A$130,'Cadastro de BC - Servidores'!$H$14:$H$130))</f>
        <v>3.059.774-9</v>
      </c>
      <c r="D50" s="329" t="str">
        <f>IF(A50="","",LOOKUP(A50,'Cadastro de BC - Servidores'!$A$14:$A$130,'Cadastro de BC - Servidores'!$I$14:$I$130))</f>
        <v>269.887.518-66</v>
      </c>
      <c r="E50" s="329" t="str">
        <f>IF(A50="","",LOOKUP(A50,'Cadastro de BC - Servidores'!$A$14:$A$130,'Cadastro de BC - Servidores'!$J$14:$J$130))</f>
        <v>047/060</v>
      </c>
      <c r="F50" s="354" t="str">
        <f>IF(A50="","",LOOKUP(A50,'Cadastro de BC - Servidores'!$A$14:$A$130,'Cadastro de BC - Servidores'!$K$14:$K$130))</f>
        <v>002120-9</v>
      </c>
      <c r="G50" s="329">
        <f>IF(A50="","",LOOKUP(A50,'Cadastro de BC - Servidores'!$A$14:$A$130,'Cadastro de BC - Servidores'!$L$14:$L$130))</f>
        <v>1.1499999999999999</v>
      </c>
      <c r="H50" s="377">
        <f>IF(A50="","",LOOKUP(A50,'Cadastro de BC - Servidores'!$A$14:$A$130,'Cadastro de BC - Servidores'!$O$14:$O$130))</f>
        <v>2081.5</v>
      </c>
      <c r="I50" s="356">
        <f>IF(A50="","",LOOKUP(A50,'Cadastro de BC - Servidores'!$A$14:$A$130,'Cadastro de BC - Servidores'!$T$14:$T$130))</f>
        <v>211.50000000000006</v>
      </c>
      <c r="J50" s="378">
        <f>IF(A50="","",LOOKUP(A50,'Cadastro de BC - Servidores'!$A$14:$A$130,'Cadastro de BC - Servidores'!$AB$14:$AB$130))</f>
        <v>96.962499999999977</v>
      </c>
      <c r="K50" s="379">
        <f>IF(A50="","",LOOKUP(A50,'Cadastro de BC - Servidores'!$A$14:$A$130,'Cadastro de BC - Servidores'!$AC$14:$AC$130))</f>
        <v>0</v>
      </c>
      <c r="L50" s="379">
        <f>IF(A50="","",LOOKUP(A50,'Cadastro de BC - Servidores'!$A$14:$A$130,'Cadastro de BC - Servidores'!$AD$14:$AD$130))</f>
        <v>0</v>
      </c>
      <c r="M50" s="380">
        <f t="shared" si="0"/>
        <v>308.46250000000003</v>
      </c>
      <c r="N50" s="379">
        <f>IF(A50="","",LOOKUP(A50,'Cadastro de BC - Servidores'!$A$14:$A$130,'Cadastro de BC - Servidores'!$AE$14:$AE$130))</f>
        <v>0</v>
      </c>
      <c r="O50" s="381">
        <f t="shared" si="1"/>
        <v>1773.0374999999999</v>
      </c>
      <c r="P50" s="475"/>
      <c r="S50" s="86"/>
    </row>
    <row r="51" spans="1:19" ht="12.95" customHeight="1" x14ac:dyDescent="0.25">
      <c r="A51" s="553">
        <v>96</v>
      </c>
      <c r="B51" s="554" t="str">
        <f>IF(A51="","",LOOKUP($A51,'Cadastro de BC - Servidores'!A41:B156))</f>
        <v>Thaíse Michelle Menezes dos Santos</v>
      </c>
      <c r="C51" s="555" t="str">
        <f>IF(A51="","",LOOKUP(A51,'Cadastro de BC - Servidores'!$A$14:$A$130,'Cadastro de BC - Servidores'!$H$14:$H$130))</f>
        <v xml:space="preserve">3.067.329-1 </v>
      </c>
      <c r="D51" s="556" t="str">
        <f>IF(A51="","",LOOKUP(A51,'Cadastro de BC - Servidores'!$A$14:$A$130,'Cadastro de BC - Servidores'!$I$14:$I$130))</f>
        <v>008.838.775-54</v>
      </c>
      <c r="E51" s="556" t="str">
        <f>IF(A51="","",LOOKUP(A51,'Cadastro de BC - Servidores'!$A$14:$A$130,'Cadastro de BC - Servidores'!$J$14:$J$130))</f>
        <v>047/015</v>
      </c>
      <c r="F51" s="555" t="str">
        <f>IF(A51="","",LOOKUP(A51,'Cadastro de BC - Servidores'!$A$14:$A$130,'Cadastro de BC - Servidores'!$K$14:$K$130))</f>
        <v>053.156-2</v>
      </c>
      <c r="G51" s="556">
        <f>IF(A51="","",LOOKUP(A51,'Cadastro de BC - Servidores'!$A$14:$A$130,'Cadastro de BC - Servidores'!$L$14:$L$130))</f>
        <v>1.45</v>
      </c>
      <c r="H51" s="557">
        <f>IF(A51="","",LOOKUP(A51,'Cadastro de BC - Servidores'!$A$14:$A$130,'Cadastro de BC - Servidores'!$O$14:$O$130))</f>
        <v>1312.25</v>
      </c>
      <c r="I51" s="558">
        <f>IF(A51="","",LOOKUP(A51,'Cadastro de BC - Servidores'!$A$14:$A$130,'Cadastro de BC - Servidores'!$T$14:$T$130))</f>
        <v>98.418749999999974</v>
      </c>
      <c r="J51" s="559">
        <f>IF(A51="","",LOOKUP(A51,'Cadastro de BC - Servidores'!$A$14:$A$130,'Cadastro de BC - Servidores'!$AB$14:$AB$130))</f>
        <v>0</v>
      </c>
      <c r="K51" s="560">
        <f>IF(A51="","",LOOKUP(A51,'Cadastro de BC - Servidores'!$A$14:$A$130,'Cadastro de BC - Servidores'!$AC$14:$AC$130))</f>
        <v>0</v>
      </c>
      <c r="L51" s="560">
        <f>IF(A51="","",LOOKUP(A51,'Cadastro de BC - Servidores'!$A$14:$A$130,'Cadastro de BC - Servidores'!$AD$14:$AD$130))</f>
        <v>0</v>
      </c>
      <c r="M51" s="561">
        <f t="shared" si="0"/>
        <v>98.418749999999974</v>
      </c>
      <c r="N51" s="560">
        <f>IF(A51="","",LOOKUP(A51,'Cadastro de BC - Servidores'!$A$14:$A$130,'Cadastro de BC - Servidores'!$AE$14:$AE$130))</f>
        <v>0</v>
      </c>
      <c r="O51" s="562">
        <f t="shared" si="1"/>
        <v>1213.83125</v>
      </c>
      <c r="P51" s="475"/>
      <c r="S51" s="86"/>
    </row>
    <row r="52" spans="1:19" ht="12.95" customHeight="1" x14ac:dyDescent="0.25">
      <c r="A52" s="274">
        <v>97</v>
      </c>
      <c r="B52" s="353" t="str">
        <f>IF(A52="","",LOOKUP($A52,'Cadastro de BC - Servidores'!A42:B157))</f>
        <v>Vinicius Deda Menezes</v>
      </c>
      <c r="C52" s="354" t="str">
        <f>IF(A52="","",LOOKUP(A52,'Cadastro de BC - Servidores'!$A$14:$A$130,'Cadastro de BC - Servidores'!$H$14:$H$130))</f>
        <v>3.256.533-0</v>
      </c>
      <c r="D52" s="329" t="str">
        <f>IF(A52="","",LOOKUP(A52,'Cadastro de BC - Servidores'!$A$14:$A$130,'Cadastro de BC - Servidores'!$I$14:$I$130))</f>
        <v>020.939.505-29</v>
      </c>
      <c r="E52" s="329" t="str">
        <f>IF(A52="","",LOOKUP(A52,'Cadastro de BC - Servidores'!$A$14:$A$130,'Cadastro de BC - Servidores'!$J$14:$J$130))</f>
        <v>047/029</v>
      </c>
      <c r="F52" s="354" t="str">
        <f>IF(A52="","",LOOKUP(A52,'Cadastro de BC - Servidores'!$A$14:$A$130,'Cadastro de BC - Servidores'!$K$14:$K$130))</f>
        <v>02/202.844-5</v>
      </c>
      <c r="G52" s="329">
        <f>IF(A52="","",LOOKUP(A52,'Cadastro de BC - Servidores'!$A$14:$A$130,'Cadastro de BC - Servidores'!$L$14:$L$130))</f>
        <v>0.65</v>
      </c>
      <c r="H52" s="377">
        <f>IF(A52="","",LOOKUP(A52,'Cadastro de BC - Servidores'!$A$14:$A$130,'Cadastro de BC - Servidores'!$O$14:$O$130))</f>
        <v>1176.5</v>
      </c>
      <c r="I52" s="356">
        <f>IF(A52="","",LOOKUP(A52,'Cadastro de BC - Servidores'!$A$14:$A$130,'Cadastro de BC - Servidores'!$T$14:$T$130))</f>
        <v>105.88500000000001</v>
      </c>
      <c r="J52" s="378">
        <f>IF(A52="","",LOOKUP(A52,'Cadastro de BC - Servidores'!$A$14:$A$130,'Cadastro de BC - Servidores'!$AB$14:$AB$130))</f>
        <v>3.4473749999999939</v>
      </c>
      <c r="K52" s="379">
        <f>IF(A52="","",LOOKUP(A52,'Cadastro de BC - Servidores'!$A$14:$A$130,'Cadastro de BC - Servidores'!$AC$14:$AC$130))</f>
        <v>0</v>
      </c>
      <c r="L52" s="379">
        <f>IF(A52="","",LOOKUP(A52,'Cadastro de BC - Servidores'!$A$14:$A$130,'Cadastro de BC - Servidores'!$AD$14:$AD$130))</f>
        <v>0</v>
      </c>
      <c r="M52" s="380">
        <f t="shared" si="0"/>
        <v>109.332375</v>
      </c>
      <c r="N52" s="379">
        <f>IF(A52="","",LOOKUP(A52,'Cadastro de BC - Servidores'!$A$14:$A$130,'Cadastro de BC - Servidores'!$AE$14:$AE$130))</f>
        <v>0</v>
      </c>
      <c r="O52" s="381">
        <f t="shared" si="1"/>
        <v>1067.167625</v>
      </c>
      <c r="P52" s="475"/>
      <c r="S52" s="86"/>
    </row>
    <row r="53" spans="1:19" ht="12.95" customHeight="1" x14ac:dyDescent="0.25">
      <c r="A53" s="274">
        <v>98</v>
      </c>
      <c r="B53" s="353" t="str">
        <f>IF(A53="","",LOOKUP($A53,'Cadastro de BC - Servidores'!A43:B158))</f>
        <v>Natali Leite dos Santos</v>
      </c>
      <c r="C53" s="354">
        <f>IF(A53="","",LOOKUP(A53,'Cadastro de BC - Servidores'!$A$14:$A$130,'Cadastro de BC - Servidores'!$H$14:$H$130))</f>
        <v>34052755</v>
      </c>
      <c r="D53" s="329" t="str">
        <f>IF(A53="","",LOOKUP(A53,'Cadastro de BC - Servidores'!$A$14:$A$130,'Cadastro de BC - Servidores'!$I$14:$I$130))</f>
        <v>043.036.055-06</v>
      </c>
      <c r="E53" s="329" t="str">
        <f>IF(A53="","",LOOKUP(A53,'Cadastro de BC - Servidores'!$A$14:$A$130,'Cadastro de BC - Servidores'!$J$14:$J$130))</f>
        <v>047/029</v>
      </c>
      <c r="F53" s="354" t="str">
        <f>IF(A53="","",LOOKUP(A53,'Cadastro de BC - Servidores'!$A$14:$A$130,'Cadastro de BC - Servidores'!$K$14:$K$130))</f>
        <v>057300-1</v>
      </c>
      <c r="G53" s="329">
        <f>IF(A53="","",LOOKUP(A53,'Cadastro de BC - Servidores'!$A$14:$A$130,'Cadastro de BC - Servidores'!$L$14:$L$130))</f>
        <v>0.8</v>
      </c>
      <c r="H53" s="377">
        <f>IF(A53="","",LOOKUP(A53,'Cadastro de BC - Servidores'!$A$14:$A$130,'Cadastro de BC - Servidores'!$O$14:$O$130))</f>
        <v>1448</v>
      </c>
      <c r="I53" s="356">
        <f>IF(A53="","",LOOKUP(A53,'Cadastro de BC - Servidores'!$A$14:$A$130,'Cadastro de BC - Servidores'!$T$14:$T$130))</f>
        <v>135.47999999999996</v>
      </c>
      <c r="J53" s="378">
        <f>IF(A53="","",LOOKUP(A53,'Cadastro de BC - Servidores'!$A$14:$A$130,'Cadastro de BC - Servidores'!$AB$14:$AB$130))</f>
        <v>28.089749999999952</v>
      </c>
      <c r="K53" s="379">
        <f>IF(A53="","",LOOKUP(A53,'Cadastro de BC - Servidores'!$A$14:$A$130,'Cadastro de BC - Servidores'!$AC$14:$AC$130))</f>
        <v>0</v>
      </c>
      <c r="L53" s="379">
        <f>IF(A53="","",LOOKUP(A53,'Cadastro de BC - Servidores'!$A$14:$A$130,'Cadastro de BC - Servidores'!$AD$14:$AD$130))</f>
        <v>0</v>
      </c>
      <c r="M53" s="380">
        <f t="shared" si="0"/>
        <v>163.56974999999991</v>
      </c>
      <c r="N53" s="379">
        <f>IF(A53="","",LOOKUP(A53,'Cadastro de BC - Servidores'!$A$14:$A$130,'Cadastro de BC - Servidores'!$AE$14:$AE$130))</f>
        <v>0</v>
      </c>
      <c r="O53" s="381">
        <f t="shared" si="1"/>
        <v>1284.4302500000001</v>
      </c>
      <c r="P53" s="475"/>
      <c r="S53" s="86"/>
    </row>
    <row r="54" spans="1:19" ht="12.95" customHeight="1" x14ac:dyDescent="0.25">
      <c r="A54" s="274">
        <v>99</v>
      </c>
      <c r="B54" s="353" t="str">
        <f>IF(A54="","",LOOKUP($A54,'Cadastro de BC - Servidores'!A44:B159))</f>
        <v>Ana Carolina Cardoso da Mota</v>
      </c>
      <c r="C54" s="354" t="str">
        <f>IF(A54="","",LOOKUP(A54,'Cadastro de BC - Servidores'!$A$14:$A$130,'Cadastro de BC - Servidores'!$H$14:$H$130))</f>
        <v>3.048.792-7</v>
      </c>
      <c r="D54" s="329" t="str">
        <f>IF(A54="","",LOOKUP(A54,'Cadastro de BC - Servidores'!$A$14:$A$130,'Cadastro de BC - Servidores'!$I$14:$I$130))</f>
        <v>036.414.315-06</v>
      </c>
      <c r="E54" s="329" t="str">
        <f>IF(A54="","",LOOKUP(A54,'Cadastro de BC - Servidores'!$A$14:$A$130,'Cadastro de BC - Servidores'!$J$14:$J$130))</f>
        <v>047/029</v>
      </c>
      <c r="F54" s="354" t="str">
        <f>IF(A54="","",LOOKUP(A54,'Cadastro de BC - Servidores'!$A$14:$A$130,'Cadastro de BC - Servidores'!$K$14:$K$130))</f>
        <v>058258-2</v>
      </c>
      <c r="G54" s="329">
        <f>IF(A54="","",LOOKUP(A54,'Cadastro de BC - Servidores'!$A$14:$A$130,'Cadastro de BC - Servidores'!$L$14:$L$130))</f>
        <v>1.1000000000000001</v>
      </c>
      <c r="H54" s="377">
        <f>IF(A54="","",LOOKUP(A54,'Cadastro de BC - Servidores'!$A$14:$A$130,'Cadastro de BC - Servidores'!$O$14:$O$130))</f>
        <v>1991.0000000000002</v>
      </c>
      <c r="I54" s="356">
        <f>IF(A54="","",LOOKUP(A54,'Cadastro de BC - Servidores'!$A$14:$A$130,'Cadastro de BC - Servidores'!$T$14:$T$130))</f>
        <v>215.81999999999994</v>
      </c>
      <c r="J54" s="378">
        <f>IF(A54="","",LOOKUP(A54,'Cadastro de BC - Servidores'!$A$14:$A$130,'Cadastro de BC - Servidores'!$AB$14:$AB$130))</f>
        <v>151.80850000000004</v>
      </c>
      <c r="K54" s="379">
        <f>IF(A54="","",LOOKUP(A54,'Cadastro de BC - Servidores'!$A$14:$A$130,'Cadastro de BC - Servidores'!$AC$14:$AC$130))</f>
        <v>0</v>
      </c>
      <c r="L54" s="379">
        <f>IF(A54="","",LOOKUP(A54,'Cadastro de BC - Servidores'!$A$14:$A$130,'Cadastro de BC - Servidores'!$AD$14:$AD$130))</f>
        <v>0</v>
      </c>
      <c r="M54" s="380">
        <f t="shared" si="0"/>
        <v>367.62849999999997</v>
      </c>
      <c r="N54" s="379">
        <f>IF(A54="","",LOOKUP(A54,'Cadastro de BC - Servidores'!$A$14:$A$130,'Cadastro de BC - Servidores'!$AE$14:$AE$130))</f>
        <v>0</v>
      </c>
      <c r="O54" s="381">
        <f t="shared" si="1"/>
        <v>1623.3715000000002</v>
      </c>
      <c r="P54" s="475"/>
      <c r="S54" s="91"/>
    </row>
    <row r="55" spans="1:19" ht="12.95" customHeight="1" x14ac:dyDescent="0.25">
      <c r="A55" s="274">
        <v>100</v>
      </c>
      <c r="B55" s="353" t="str">
        <f>IF(A55="","",LOOKUP($A55,'Cadastro de BC - Servidores'!A45:B160))</f>
        <v>Polyana Souza da Silva</v>
      </c>
      <c r="C55" s="354" t="str">
        <f>IF(A55="","",LOOKUP(A55,'Cadastro de BC - Servidores'!$A$14:$A$130,'Cadastro de BC - Servidores'!$H$14:$H$130))</f>
        <v>3.857.707-0</v>
      </c>
      <c r="D55" s="329" t="str">
        <f>IF(A55="","",LOOKUP(A55,'Cadastro de BC - Servidores'!$A$14:$A$130,'Cadastro de BC - Servidores'!$I$14:$I$130))</f>
        <v>077.142.675-50</v>
      </c>
      <c r="E55" s="329" t="str">
        <f>IF(A55="","",LOOKUP(A55,'Cadastro de BC - Servidores'!$A$14:$A$130,'Cadastro de BC - Servidores'!$J$14:$J$130))</f>
        <v>047/029</v>
      </c>
      <c r="F55" s="354" t="str">
        <f>IF(A55="","",LOOKUP(A55,'Cadastro de BC - Servidores'!$A$14:$A$130,'Cadastro de BC - Servidores'!$K$14:$K$130))</f>
        <v>59708-3</v>
      </c>
      <c r="G55" s="329">
        <f>IF(A55="","",LOOKUP(A55,'Cadastro de BC - Servidores'!$A$14:$A$130,'Cadastro de BC - Servidores'!$L$14:$L$130))</f>
        <v>0.65</v>
      </c>
      <c r="H55" s="377">
        <f>IF(A55="","",LOOKUP(A55,'Cadastro de BC - Servidores'!$A$14:$A$130,'Cadastro de BC - Servidores'!$O$14:$O$130))</f>
        <v>1176.5</v>
      </c>
      <c r="I55" s="356">
        <f>IF(A55="","",LOOKUP(A55,'Cadastro de BC - Servidores'!$A$14:$A$130,'Cadastro de BC - Servidores'!$T$14:$T$130))</f>
        <v>105.88500000000001</v>
      </c>
      <c r="J55" s="378">
        <f>IF(A55="","",LOOKUP(A55,'Cadastro de BC - Servidores'!$A$14:$A$130,'Cadastro de BC - Servidores'!$AB$14:$AB$130))</f>
        <v>3.4473749999999939</v>
      </c>
      <c r="K55" s="379">
        <f>IF(A55="","",LOOKUP(A55,'Cadastro de BC - Servidores'!$A$14:$A$130,'Cadastro de BC - Servidores'!$AC$14:$AC$130))</f>
        <v>0</v>
      </c>
      <c r="L55" s="379">
        <f>IF(A55="","",LOOKUP(A55,'Cadastro de BC - Servidores'!$A$14:$A$130,'Cadastro de BC - Servidores'!$AD$14:$AD$130))</f>
        <v>0</v>
      </c>
      <c r="M55" s="380">
        <f t="shared" si="0"/>
        <v>109.332375</v>
      </c>
      <c r="N55" s="379">
        <f>IF(A55="","",LOOKUP(A55,'Cadastro de BC - Servidores'!$A$14:$A$130,'Cadastro de BC - Servidores'!$AE$14:$AE$130))</f>
        <v>0</v>
      </c>
      <c r="O55" s="381">
        <f t="shared" si="1"/>
        <v>1067.167625</v>
      </c>
      <c r="P55" s="475"/>
      <c r="S55" s="91"/>
    </row>
    <row r="56" spans="1:19" x14ac:dyDescent="0.25">
      <c r="A56" s="641" t="s">
        <v>457</v>
      </c>
      <c r="B56" s="641"/>
      <c r="C56" s="641"/>
      <c r="D56" s="641"/>
      <c r="E56" s="641"/>
      <c r="F56" s="641"/>
      <c r="G56" s="641"/>
      <c r="H56" s="382">
        <f t="shared" ref="H56:O56" si="6">SUM(H15:H55)</f>
        <v>73205.45</v>
      </c>
      <c r="I56" s="382">
        <f t="shared" si="6"/>
        <v>6566.6486500000001</v>
      </c>
      <c r="J56" s="382">
        <f t="shared" si="6"/>
        <v>3714.1319050000011</v>
      </c>
      <c r="K56" s="382">
        <f t="shared" si="6"/>
        <v>0</v>
      </c>
      <c r="L56" s="382">
        <f t="shared" si="6"/>
        <v>0</v>
      </c>
      <c r="M56" s="382">
        <f t="shared" si="6"/>
        <v>10280.780555000003</v>
      </c>
      <c r="N56" s="382">
        <f t="shared" si="6"/>
        <v>0</v>
      </c>
      <c r="O56" s="382">
        <f t="shared" si="6"/>
        <v>62924.669445</v>
      </c>
      <c r="P56" s="396"/>
      <c r="S56" s="86"/>
    </row>
    <row r="57" spans="1:19" ht="12" customHeight="1" x14ac:dyDescent="0.25">
      <c r="A57" s="613"/>
      <c r="B57" s="613"/>
      <c r="C57" s="613"/>
      <c r="D57" s="613"/>
      <c r="E57" s="613"/>
      <c r="F57" s="613"/>
      <c r="G57" s="613"/>
      <c r="H57" s="613"/>
      <c r="I57" s="613"/>
      <c r="J57" s="613"/>
      <c r="K57" s="613"/>
      <c r="L57" s="613"/>
      <c r="M57" s="613"/>
      <c r="N57" s="613"/>
      <c r="O57" s="613"/>
      <c r="P57" s="396"/>
      <c r="S57" s="86"/>
    </row>
    <row r="58" spans="1:19" s="90" customFormat="1" ht="12.75" customHeight="1" x14ac:dyDescent="0.25">
      <c r="A58" s="613"/>
      <c r="B58" s="613"/>
      <c r="C58" s="613"/>
      <c r="D58" s="613"/>
      <c r="E58" s="613"/>
      <c r="F58" s="613"/>
      <c r="G58" s="613"/>
      <c r="H58" s="613"/>
      <c r="I58" s="613"/>
      <c r="J58" s="613"/>
      <c r="K58" s="613"/>
      <c r="L58" s="613"/>
      <c r="M58" s="613"/>
      <c r="N58" s="613"/>
      <c r="O58" s="613"/>
      <c r="P58" s="396"/>
    </row>
    <row r="59" spans="1:19" x14ac:dyDescent="0.25">
      <c r="A59" s="613"/>
      <c r="B59" s="613"/>
      <c r="C59" s="613"/>
      <c r="D59" s="613"/>
      <c r="E59" s="613"/>
      <c r="F59" s="613"/>
      <c r="G59" s="613"/>
      <c r="H59" s="613"/>
      <c r="I59" s="613"/>
      <c r="J59" s="613"/>
      <c r="K59" s="613"/>
      <c r="L59" s="613"/>
      <c r="M59" s="613"/>
      <c r="N59" s="613"/>
      <c r="O59" s="613"/>
      <c r="P59" s="396"/>
    </row>
    <row r="60" spans="1:19" x14ac:dyDescent="0.25">
      <c r="A60" s="613"/>
      <c r="B60" s="613"/>
      <c r="C60" s="613"/>
      <c r="D60" s="613"/>
      <c r="E60" s="613"/>
      <c r="F60" s="613"/>
      <c r="G60" s="613"/>
      <c r="H60" s="613"/>
      <c r="I60" s="613"/>
      <c r="J60" s="613"/>
      <c r="K60" s="613"/>
      <c r="L60" s="613"/>
      <c r="M60" s="613"/>
      <c r="N60" s="613"/>
      <c r="O60" s="613"/>
    </row>
    <row r="61" spans="1:19" x14ac:dyDescent="0.25">
      <c r="A61" s="613"/>
      <c r="B61" s="613"/>
      <c r="C61" s="613"/>
      <c r="D61" s="613"/>
      <c r="E61" s="613"/>
      <c r="F61" s="613"/>
      <c r="G61" s="613"/>
      <c r="H61" s="613"/>
      <c r="I61" s="613"/>
      <c r="J61" s="613"/>
      <c r="K61" s="613"/>
      <c r="L61" s="613"/>
      <c r="M61" s="613"/>
      <c r="N61" s="613"/>
      <c r="O61" s="613"/>
    </row>
    <row r="62" spans="1:19" x14ac:dyDescent="0.25">
      <c r="A62" s="613"/>
      <c r="B62" s="613"/>
      <c r="C62" s="613"/>
      <c r="D62" s="613"/>
      <c r="E62" s="613"/>
      <c r="F62" s="613"/>
      <c r="G62" s="613"/>
      <c r="H62" s="613"/>
      <c r="I62" s="613"/>
      <c r="J62" s="613"/>
      <c r="K62" s="613"/>
      <c r="L62" s="613"/>
      <c r="M62" s="613"/>
      <c r="N62" s="613"/>
      <c r="O62" s="613"/>
    </row>
  </sheetData>
  <mergeCells count="22">
    <mergeCell ref="A61:O61"/>
    <mergeCell ref="A62:O62"/>
    <mergeCell ref="A56:G56"/>
    <mergeCell ref="A57:O57"/>
    <mergeCell ref="A58:O58"/>
    <mergeCell ref="A59:O59"/>
    <mergeCell ref="A60:O60"/>
    <mergeCell ref="A13:H13"/>
    <mergeCell ref="I13:M13"/>
    <mergeCell ref="N13:N14"/>
    <mergeCell ref="O13:O14"/>
    <mergeCell ref="A14:B14"/>
    <mergeCell ref="A8:O8"/>
    <mergeCell ref="A9:O9"/>
    <mergeCell ref="A10:M10"/>
    <mergeCell ref="D11:F11"/>
    <mergeCell ref="G11:H11"/>
    <mergeCell ref="A2:O2"/>
    <mergeCell ref="A3:O3"/>
    <mergeCell ref="A4:O4"/>
    <mergeCell ref="A5:O5"/>
    <mergeCell ref="A7:O7"/>
  </mergeCells>
  <pageMargins left="0.23611099999999999" right="0.23611099999999999" top="0" bottom="0" header="0.315278" footer="0.315278"/>
  <pageSetup paperSize="9" scale="69" fitToWidth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9"/>
  <sheetViews>
    <sheetView showGridLines="0" workbookViewId="0">
      <selection activeCell="I13" sqref="I13"/>
    </sheetView>
  </sheetViews>
  <sheetFormatPr defaultRowHeight="15" x14ac:dyDescent="0.25"/>
  <cols>
    <col min="1" max="5" width="10.140625" customWidth="1"/>
    <col min="6" max="6" width="9.5703125" customWidth="1"/>
    <col min="8" max="9" width="10.140625" customWidth="1"/>
    <col min="11" max="11" width="10.140625" customWidth="1"/>
    <col min="17" max="18" width="9.5703125" customWidth="1"/>
    <col min="19" max="19" width="9.5703125" bestFit="1" customWidth="1"/>
  </cols>
  <sheetData>
    <row r="2" spans="1:21" x14ac:dyDescent="0.25">
      <c r="A2" s="642" t="s">
        <v>571</v>
      </c>
      <c r="B2" s="643"/>
      <c r="C2" s="643"/>
      <c r="D2" s="643"/>
      <c r="E2" s="644"/>
      <c r="G2" s="645" t="s">
        <v>570</v>
      </c>
      <c r="H2" s="645"/>
      <c r="I2" s="645"/>
      <c r="J2" s="645"/>
      <c r="K2" s="645"/>
      <c r="P2" s="642" t="s">
        <v>494</v>
      </c>
      <c r="Q2" s="643"/>
      <c r="R2" s="643"/>
      <c r="S2" s="643"/>
      <c r="T2" s="644"/>
    </row>
    <row r="3" spans="1:21" x14ac:dyDescent="0.25">
      <c r="A3" s="3"/>
      <c r="B3" s="262" t="s">
        <v>495</v>
      </c>
      <c r="C3" s="262" t="s">
        <v>496</v>
      </c>
      <c r="D3" s="263" t="s">
        <v>497</v>
      </c>
      <c r="E3" s="266" t="s">
        <v>498</v>
      </c>
      <c r="G3" s="1"/>
      <c r="H3" s="2" t="s">
        <v>495</v>
      </c>
      <c r="I3" s="2" t="s">
        <v>496</v>
      </c>
      <c r="J3" s="2" t="s">
        <v>497</v>
      </c>
      <c r="K3" s="2" t="s">
        <v>498</v>
      </c>
      <c r="P3" s="268" t="s">
        <v>499</v>
      </c>
      <c r="Q3" s="399">
        <f>C4</f>
        <v>1518</v>
      </c>
      <c r="R3" s="249">
        <v>7.4999999999999983E-2</v>
      </c>
      <c r="S3" s="254">
        <f>Q3*R3</f>
        <v>113.84999999999998</v>
      </c>
      <c r="T3" s="255">
        <v>0</v>
      </c>
    </row>
    <row r="4" spans="1:21" x14ac:dyDescent="0.25">
      <c r="A4" s="3"/>
      <c r="B4" s="4">
        <v>0</v>
      </c>
      <c r="C4" s="4">
        <v>1518</v>
      </c>
      <c r="D4" s="264">
        <v>7.4999999999999983E-2</v>
      </c>
      <c r="E4" s="4">
        <v>0</v>
      </c>
      <c r="G4" s="1"/>
      <c r="H4" s="4">
        <v>0</v>
      </c>
      <c r="I4" s="4">
        <v>2428.8000000000002</v>
      </c>
      <c r="J4" s="5">
        <v>0</v>
      </c>
      <c r="K4" s="4">
        <v>0</v>
      </c>
      <c r="P4" s="269" t="s">
        <v>500</v>
      </c>
      <c r="Q4" s="253">
        <f>C5-B5</f>
        <v>1275.8700000000001</v>
      </c>
      <c r="R4" s="250">
        <v>0.09</v>
      </c>
      <c r="S4" s="256">
        <f t="shared" ref="S4:S9" si="0">Q4*R4</f>
        <v>114.82830000000001</v>
      </c>
      <c r="T4" s="257"/>
    </row>
    <row r="5" spans="1:21" x14ac:dyDescent="0.25">
      <c r="A5" s="3"/>
      <c r="B5" s="4">
        <f>C4+0.01</f>
        <v>1518.01</v>
      </c>
      <c r="C5" s="4">
        <v>2793.88</v>
      </c>
      <c r="D5" s="264">
        <v>0.09</v>
      </c>
      <c r="E5" s="4">
        <v>22.77</v>
      </c>
      <c r="G5" s="1"/>
      <c r="H5" s="4">
        <f>I4+0.01</f>
        <v>2428.8100000000004</v>
      </c>
      <c r="I5" s="4">
        <v>2826.65</v>
      </c>
      <c r="J5" s="5">
        <v>7.4999999999999983E-2</v>
      </c>
      <c r="K5" s="4">
        <v>182.16</v>
      </c>
      <c r="P5" s="268" t="s">
        <v>499</v>
      </c>
      <c r="Q5" s="400">
        <f>C5</f>
        <v>2793.88</v>
      </c>
      <c r="R5" s="252">
        <v>0.09</v>
      </c>
      <c r="S5" s="258">
        <f t="shared" si="0"/>
        <v>251.44919999999999</v>
      </c>
      <c r="T5" s="270">
        <f>S5-(S4+S3)</f>
        <v>22.770900000000012</v>
      </c>
    </row>
    <row r="6" spans="1:21" x14ac:dyDescent="0.25">
      <c r="A6" s="3"/>
      <c r="B6" s="4">
        <f>C5+0.01</f>
        <v>2793.8900000000003</v>
      </c>
      <c r="C6" s="4">
        <v>4190.83</v>
      </c>
      <c r="D6" s="264">
        <v>0.12</v>
      </c>
      <c r="E6" s="4">
        <v>106.59</v>
      </c>
      <c r="G6" s="1"/>
      <c r="H6" s="4">
        <f>I5+0.01</f>
        <v>2826.6600000000003</v>
      </c>
      <c r="I6" s="4">
        <v>3751.05</v>
      </c>
      <c r="J6" s="5">
        <v>0.15</v>
      </c>
      <c r="K6" s="4">
        <v>394.16</v>
      </c>
      <c r="P6" s="269" t="s">
        <v>500</v>
      </c>
      <c r="Q6" s="259">
        <f>C6-B6</f>
        <v>1396.9399999999996</v>
      </c>
      <c r="R6" s="250">
        <v>0.12</v>
      </c>
      <c r="S6" s="260">
        <f t="shared" si="0"/>
        <v>167.63279999999995</v>
      </c>
      <c r="T6" s="251"/>
    </row>
    <row r="7" spans="1:21" x14ac:dyDescent="0.25">
      <c r="A7" s="248"/>
      <c r="B7" s="4">
        <f>C6+0.01</f>
        <v>4190.84</v>
      </c>
      <c r="C7" s="4">
        <v>8157.41</v>
      </c>
      <c r="D7" s="264">
        <v>0.14000000000000001</v>
      </c>
      <c r="E7" s="4">
        <v>190.4</v>
      </c>
      <c r="G7" s="1"/>
      <c r="H7" s="4">
        <f>I6+0.01</f>
        <v>3751.0600000000004</v>
      </c>
      <c r="I7" s="4">
        <v>4664.68</v>
      </c>
      <c r="J7" s="5">
        <v>0.22500000000000001</v>
      </c>
      <c r="K7" s="4">
        <v>675.49</v>
      </c>
      <c r="P7" s="268" t="s">
        <v>499</v>
      </c>
      <c r="Q7" s="400">
        <f>C6</f>
        <v>4190.83</v>
      </c>
      <c r="R7" s="252">
        <v>0.12</v>
      </c>
      <c r="S7" s="258">
        <f t="shared" si="0"/>
        <v>502.89959999999996</v>
      </c>
      <c r="T7" s="271">
        <f>S7-(S6+S4+S3)</f>
        <v>106.58850000000001</v>
      </c>
    </row>
    <row r="8" spans="1:21" x14ac:dyDescent="0.25">
      <c r="A8" s="4" t="s">
        <v>501</v>
      </c>
      <c r="B8" s="4">
        <f>C7</f>
        <v>8157.41</v>
      </c>
      <c r="C8" s="4"/>
      <c r="D8" s="265">
        <f>(B8*14%)-E7</f>
        <v>951.63740000000018</v>
      </c>
      <c r="E8" s="267"/>
      <c r="G8" s="1" t="s">
        <v>501</v>
      </c>
      <c r="H8" s="4">
        <f>I7+0.01</f>
        <v>4664.6900000000005</v>
      </c>
      <c r="I8" s="4"/>
      <c r="J8" s="5">
        <v>0.27500000000000002</v>
      </c>
      <c r="K8" s="4">
        <v>908.73</v>
      </c>
      <c r="P8" s="269" t="s">
        <v>500</v>
      </c>
      <c r="Q8" s="253">
        <f>C7-B7</f>
        <v>3966.5699999999997</v>
      </c>
      <c r="R8" s="250">
        <v>0.14000000000000001</v>
      </c>
      <c r="S8" s="256">
        <f>Q8*R8</f>
        <v>555.31979999999999</v>
      </c>
      <c r="T8" s="251"/>
    </row>
    <row r="9" spans="1:21" x14ac:dyDescent="0.25">
      <c r="K9" s="16"/>
      <c r="P9" s="269" t="s">
        <v>502</v>
      </c>
      <c r="Q9" s="400">
        <f>C7</f>
        <v>8157.41</v>
      </c>
      <c r="R9" s="252">
        <v>0.14000000000000001</v>
      </c>
      <c r="S9" s="258">
        <f t="shared" si="0"/>
        <v>1142.0374000000002</v>
      </c>
      <c r="T9" s="270">
        <f>S9-(S8+S6+S4+S3)</f>
        <v>190.40650000000016</v>
      </c>
    </row>
    <row r="10" spans="1:21" x14ac:dyDescent="0.25">
      <c r="U10" s="261"/>
    </row>
    <row r="12" spans="1:21" x14ac:dyDescent="0.25">
      <c r="U12" s="261"/>
    </row>
    <row r="13" spans="1:21" x14ac:dyDescent="0.25">
      <c r="E13" s="84"/>
      <c r="G13" s="84"/>
      <c r="I13" s="84"/>
    </row>
    <row r="14" spans="1:21" x14ac:dyDescent="0.25">
      <c r="U14" s="261"/>
    </row>
    <row r="17" spans="5:18" x14ac:dyDescent="0.25">
      <c r="R17" s="84"/>
    </row>
    <row r="18" spans="5:18" x14ac:dyDescent="0.25">
      <c r="E18" s="84"/>
      <c r="G18" s="84"/>
      <c r="H18" s="84"/>
    </row>
    <row r="19" spans="5:18" x14ac:dyDescent="0.25">
      <c r="I19" s="84"/>
    </row>
    <row r="22" spans="5:18" x14ac:dyDescent="0.25">
      <c r="R22" s="84"/>
    </row>
    <row r="23" spans="5:18" x14ac:dyDescent="0.25">
      <c r="E23" s="277"/>
      <c r="J23" s="277"/>
    </row>
    <row r="25" spans="5:18" x14ac:dyDescent="0.25">
      <c r="J25" s="277"/>
    </row>
    <row r="26" spans="5:18" x14ac:dyDescent="0.25">
      <c r="F26" s="84"/>
    </row>
    <row r="27" spans="5:18" x14ac:dyDescent="0.25">
      <c r="F27" s="84"/>
    </row>
    <row r="28" spans="5:18" x14ac:dyDescent="0.25">
      <c r="F28" s="84"/>
    </row>
    <row r="29" spans="5:18" x14ac:dyDescent="0.25">
      <c r="R29" s="84"/>
    </row>
  </sheetData>
  <mergeCells count="3">
    <mergeCell ref="A2:E2"/>
    <mergeCell ref="G2:K2"/>
    <mergeCell ref="P2:T2"/>
  </mergeCells>
  <pageMargins left="0.51180599999999998" right="0.51180599999999998" top="0.78749999999999998" bottom="0.78749999999999998" header="0.51180599999999998" footer="0.51180599999999998"/>
  <pageSetup paperSize="9" fitToWidth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0"/>
  <sheetViews>
    <sheetView showGridLines="0" topLeftCell="B1" zoomScale="90" workbookViewId="0">
      <selection activeCell="B53" sqref="B1:T53"/>
    </sheetView>
  </sheetViews>
  <sheetFormatPr defaultRowHeight="14.25" x14ac:dyDescent="0.2"/>
  <cols>
    <col min="1" max="1" width="5.7109375" style="69" customWidth="1"/>
    <col min="2" max="2" width="5.5703125" style="69" customWidth="1"/>
    <col min="3" max="3" width="40.85546875" style="69" customWidth="1"/>
    <col min="4" max="5" width="12.7109375" style="69" customWidth="1"/>
    <col min="6" max="6" width="14.28515625" style="282" customWidth="1"/>
    <col min="7" max="7" width="13.7109375" style="69" customWidth="1"/>
    <col min="8" max="10" width="11.28515625" style="69" customWidth="1"/>
    <col min="11" max="14" width="12.7109375" style="69" customWidth="1"/>
    <col min="15" max="16" width="11.28515625" style="69" customWidth="1"/>
    <col min="17" max="18" width="6.28515625" style="69" customWidth="1"/>
    <col min="19" max="19" width="14.5703125" style="69" customWidth="1"/>
    <col min="20" max="20" width="10.28515625" style="69" customWidth="1"/>
    <col min="21" max="21" width="9.140625" style="69"/>
    <col min="22" max="22" width="11.42578125" style="69" customWidth="1"/>
    <col min="23" max="23" width="9.140625" style="69"/>
    <col min="24" max="24" width="11.42578125" style="69" customWidth="1"/>
    <col min="25" max="25" width="14.28515625" style="69" customWidth="1"/>
    <col min="26" max="16384" width="9.140625" style="69"/>
  </cols>
  <sheetData>
    <row r="1" spans="2:20" x14ac:dyDescent="0.2">
      <c r="B1" s="646"/>
      <c r="C1" s="656">
        <f>'Cadastro de BC - Servidores'!E10</f>
        <v>45839</v>
      </c>
      <c r="D1" s="655"/>
      <c r="E1" s="647"/>
      <c r="F1" s="657"/>
      <c r="G1" s="647"/>
      <c r="H1" s="646"/>
      <c r="I1" s="647"/>
      <c r="J1" s="541"/>
      <c r="K1" s="646"/>
      <c r="L1" s="647"/>
      <c r="M1" s="655"/>
      <c r="N1" s="647"/>
      <c r="O1" s="646"/>
      <c r="P1" s="647"/>
      <c r="Q1" s="647"/>
      <c r="R1" s="68"/>
      <c r="S1" s="646"/>
      <c r="T1" s="647"/>
    </row>
    <row r="2" spans="2:20" x14ac:dyDescent="0.2">
      <c r="B2" s="646"/>
      <c r="C2" s="656"/>
      <c r="D2" s="655"/>
      <c r="E2" s="647"/>
      <c r="F2" s="657"/>
      <c r="G2" s="647"/>
      <c r="H2" s="646"/>
      <c r="I2" s="647"/>
      <c r="J2" s="541"/>
      <c r="K2" s="646"/>
      <c r="L2" s="647"/>
      <c r="M2" s="655"/>
      <c r="N2" s="647"/>
      <c r="O2" s="646"/>
      <c r="P2" s="647"/>
      <c r="Q2" s="647"/>
      <c r="R2" s="70"/>
      <c r="S2" s="646"/>
      <c r="T2" s="647"/>
    </row>
    <row r="3" spans="2:20" s="245" customFormat="1" ht="83.25" customHeight="1" x14ac:dyDescent="0.25">
      <c r="B3" s="289" t="s">
        <v>29</v>
      </c>
      <c r="C3" s="71" t="s">
        <v>30</v>
      </c>
      <c r="D3" s="71" t="s">
        <v>42</v>
      </c>
      <c r="E3" s="287" t="s">
        <v>43</v>
      </c>
      <c r="F3" s="279" t="s">
        <v>44</v>
      </c>
      <c r="G3" s="71" t="s">
        <v>503</v>
      </c>
      <c r="H3" s="71" t="s">
        <v>504</v>
      </c>
      <c r="I3" s="71" t="s">
        <v>505</v>
      </c>
      <c r="J3" s="542" t="s">
        <v>578</v>
      </c>
      <c r="K3" s="71" t="s">
        <v>42</v>
      </c>
      <c r="L3" s="71" t="s">
        <v>43</v>
      </c>
      <c r="M3" s="286" t="s">
        <v>44</v>
      </c>
      <c r="N3" s="71" t="s">
        <v>506</v>
      </c>
      <c r="O3" s="71" t="s">
        <v>507</v>
      </c>
      <c r="P3" s="71" t="s">
        <v>508</v>
      </c>
      <c r="Q3" s="72" t="s">
        <v>57</v>
      </c>
      <c r="R3" s="72" t="s">
        <v>56</v>
      </c>
      <c r="S3" s="71" t="s">
        <v>509</v>
      </c>
      <c r="T3" s="71" t="s">
        <v>510</v>
      </c>
    </row>
    <row r="4" spans="2:20" s="73" customFormat="1" x14ac:dyDescent="0.2">
      <c r="B4" s="74">
        <v>1</v>
      </c>
      <c r="C4" s="290" t="str">
        <f>IF(B4="","",LOOKUP($B4,'Cadastro de BC - Servidores'!A12:B130))</f>
        <v>Adailton Andre da Silva Passos</v>
      </c>
      <c r="D4" s="288">
        <f>IF(B4="","",LOOKUP($B4,'Cadastro de BC - Servidores'!$A$14:$N$123))</f>
        <v>0</v>
      </c>
      <c r="E4" s="76">
        <f>IF(B4="","",LOOKUP($B4,'Cadastro de BC - Servidores'!$A$14:$O$123))</f>
        <v>2081.5</v>
      </c>
      <c r="F4" s="280">
        <f t="shared" ref="F4:F44" si="0">SUM(D4:E4)</f>
        <v>2081.5</v>
      </c>
      <c r="G4" s="76">
        <f>IF(B4="","",LOOKUP($B4,'Cadastro de BC - Servidores'!$A$14:$Q$123))</f>
        <v>164.56499999999997</v>
      </c>
      <c r="H4" s="76">
        <f>IF(B4="","",LOOKUP($B4,'Cadastro de BC - Servidores'!$A$14:$R$123))</f>
        <v>0</v>
      </c>
      <c r="I4" s="76">
        <f>IF(B4="","",LOOKUP($B4,'Cadastro de BC - Servidores'!$A$14:$T$123))</f>
        <v>164.56499999999997</v>
      </c>
      <c r="J4" s="543">
        <f>H4+I4</f>
        <v>164.56499999999997</v>
      </c>
      <c r="K4" s="76">
        <f>IF(B4="","",LOOKUP($B4,'Cadastro de BC - Servidores'!$A$14:$U$123))</f>
        <v>0</v>
      </c>
      <c r="L4" s="76">
        <f>IF(B4="","",LOOKUP($B4,'Cadastro de BC - Servidores'!$A$14:$X$123))</f>
        <v>1916.9349999999999</v>
      </c>
      <c r="M4" s="76">
        <f t="shared" ref="M4:M44" si="1">SUM(K4:L4)</f>
        <v>1916.9349999999999</v>
      </c>
      <c r="N4" s="76">
        <f>IF(B4="","",LOOKUP($B4,'Cadastro de BC - Servidores'!$A$14:$Z$123))</f>
        <v>0</v>
      </c>
      <c r="O4" s="76">
        <f>IF(B4="","",LOOKUP($B4,'Cadastro de BC - Servidores'!$A$14:$AA$123))</f>
        <v>0</v>
      </c>
      <c r="P4" s="76">
        <f>IF(B4="","",LOOKUP($B4,'Cadastro de BC - Servidores'!$A$14:$AB$123))</f>
        <v>0</v>
      </c>
      <c r="Q4" s="77"/>
      <c r="R4" s="76">
        <f>IF(B4="","",LOOKUP($B4,'Cadastro de BC - Servidores'!$A$14:$AC$123))</f>
        <v>0</v>
      </c>
      <c r="S4" s="76">
        <f>E4*20%</f>
        <v>416.3</v>
      </c>
      <c r="T4" s="76">
        <f t="shared" ref="T4:T44" si="2">E4*1%</f>
        <v>20.815000000000001</v>
      </c>
    </row>
    <row r="5" spans="2:20" ht="15" customHeight="1" x14ac:dyDescent="0.2">
      <c r="B5" s="74">
        <v>2</v>
      </c>
      <c r="C5" s="75" t="str">
        <f>IF(B5="","",LOOKUP($B5,'Cadastro de BC - Servidores'!A13:B131))</f>
        <v>Amanda Brás Rocha</v>
      </c>
      <c r="D5" s="288">
        <f>IF(B5="","",LOOKUP($B5,'Cadastro de BC - Servidores'!$A$14:$N$123))</f>
        <v>1518</v>
      </c>
      <c r="E5" s="76">
        <f>IF(B5="","",LOOKUP($B5,'Cadastro de BC - Servidores'!$A$14:$O$123))</f>
        <v>2624.5</v>
      </c>
      <c r="F5" s="280">
        <f t="shared" si="0"/>
        <v>4142.5</v>
      </c>
      <c r="G5" s="76">
        <f>IF(B5="","",LOOKUP($B5,'Cadastro de BC - Servidores'!$A$14:$Q$123))</f>
        <v>390.51</v>
      </c>
      <c r="H5" s="76">
        <f>IF(B5="","",LOOKUP($B5,'Cadastro de BC - Servidores'!$A$14:$R$123))</f>
        <v>113.84999999999998</v>
      </c>
      <c r="I5" s="76">
        <f>IF(B5="","",LOOKUP($B5,'Cadastro de BC - Servidores'!$A$14:$T$123))</f>
        <v>276.66000000000003</v>
      </c>
      <c r="J5" s="543">
        <f t="shared" ref="J5:J44" si="3">H5+I5</f>
        <v>390.51</v>
      </c>
      <c r="K5" s="76">
        <f>IF(B5="","",LOOKUP($B5,'Cadastro de BC - Servidores'!$A$14:$U$123))</f>
        <v>1404.15</v>
      </c>
      <c r="L5" s="76">
        <f>IF(B5="","",LOOKUP($B5,'Cadastro de BC - Servidores'!$A$14:$X$123))</f>
        <v>2347.84</v>
      </c>
      <c r="M5" s="76">
        <f t="shared" si="1"/>
        <v>3751.9900000000002</v>
      </c>
      <c r="N5" s="76">
        <f>IF(B5="","",LOOKUP($B5,'Cadastro de BC - Servidores'!$A$14:$Z$123))</f>
        <v>168.70775000000003</v>
      </c>
      <c r="O5" s="76">
        <f>IF(B5="","",LOOKUP($B5,'Cadastro de BC - Servidores'!$A$14:$AA$123))</f>
        <v>0</v>
      </c>
      <c r="P5" s="76">
        <f>IF(B5="","",LOOKUP($B5,'Cadastro de BC - Servidores'!$A$14:$AB$123))</f>
        <v>168.70775000000003</v>
      </c>
      <c r="Q5" s="77"/>
      <c r="R5" s="76">
        <f>IF(B5="","",LOOKUP($B5,'Cadastro de BC - Servidores'!$A$14:$AC$123))</f>
        <v>0</v>
      </c>
      <c r="S5" s="76">
        <f>E5*20%</f>
        <v>524.9</v>
      </c>
      <c r="T5" s="76">
        <f t="shared" si="2"/>
        <v>26.245000000000001</v>
      </c>
    </row>
    <row r="6" spans="2:20" ht="15" customHeight="1" x14ac:dyDescent="0.2">
      <c r="B6" s="74">
        <v>3</v>
      </c>
      <c r="C6" s="75" t="str">
        <f>IF(B6="","",LOOKUP($B6,'Cadastro de BC - Servidores'!A14:B132))</f>
        <v>Eloiza Karoline Alves Santos</v>
      </c>
      <c r="D6" s="288">
        <f>IF(B6="","",LOOKUP($B6,'Cadastro de BC - Servidores'!$A$14:$N$123))</f>
        <v>1518</v>
      </c>
      <c r="E6" s="76">
        <f>IF(B6="","",LOOKUP($B6,'Cadastro de BC - Servidores'!$A$14:$O$123))</f>
        <v>905</v>
      </c>
      <c r="F6" s="280">
        <f t="shared" si="0"/>
        <v>2423</v>
      </c>
      <c r="G6" s="76">
        <f>IF(B6="","",LOOKUP($B6,'Cadastro de BC - Servidores'!$A$14:$Q$123))</f>
        <v>195.29999999999998</v>
      </c>
      <c r="H6" s="76">
        <f>IF(B6="","",LOOKUP($B6,'Cadastro de BC - Servidores'!$A$14:$R$123))</f>
        <v>113.84999999999998</v>
      </c>
      <c r="I6" s="76">
        <f>IF(B6="","",LOOKUP($B6,'Cadastro de BC - Servidores'!$A$14:$T$123))</f>
        <v>81.45</v>
      </c>
      <c r="J6" s="543">
        <f t="shared" si="3"/>
        <v>195.29999999999998</v>
      </c>
      <c r="K6" s="76">
        <f>IF(B6="","",LOOKUP($B6,'Cadastro de BC - Servidores'!$A$14:$U$123))</f>
        <v>1404.15</v>
      </c>
      <c r="L6" s="76">
        <f>IF(B6="","",LOOKUP($B6,'Cadastro de BC - Servidores'!$A$14:$X$123))</f>
        <v>823.55</v>
      </c>
      <c r="M6" s="76">
        <f t="shared" si="1"/>
        <v>2227.6999999999998</v>
      </c>
      <c r="N6" s="76">
        <f>IF(B6="","",LOOKUP($B6,'Cadastro de BC - Servidores'!$A$14:$Z$123))</f>
        <v>0</v>
      </c>
      <c r="O6" s="76">
        <f>IF(B6="","",LOOKUP($B6,'Cadastro de BC - Servidores'!$A$14:$AA$123))</f>
        <v>0</v>
      </c>
      <c r="P6" s="76">
        <f>IF(B6="","",LOOKUP($B6,'Cadastro de BC - Servidores'!$A$14:$AB$123))</f>
        <v>0</v>
      </c>
      <c r="Q6" s="77"/>
      <c r="R6" s="76">
        <f>IF(B6="","",LOOKUP($B6,'Cadastro de BC - Servidores'!$A$14:$AC$123))</f>
        <v>0</v>
      </c>
      <c r="S6" s="76">
        <f t="shared" ref="S6:S43" si="4">E6*20%</f>
        <v>181</v>
      </c>
      <c r="T6" s="76">
        <f t="shared" si="2"/>
        <v>9.0500000000000007</v>
      </c>
    </row>
    <row r="7" spans="2:20" ht="15" customHeight="1" x14ac:dyDescent="0.2">
      <c r="B7" s="74">
        <v>4</v>
      </c>
      <c r="C7" s="75" t="str">
        <f>IF(B7="","",LOOKUP($B7,'Cadastro de BC - Servidores'!A15:B133))</f>
        <v>Edvânia Monteiro da Silva</v>
      </c>
      <c r="D7" s="288">
        <f>IF(B7="","",LOOKUP($B7,'Cadastro de BC - Servidores'!$A$14:$N$123))</f>
        <v>1518</v>
      </c>
      <c r="E7" s="76">
        <f>IF(B7="","",LOOKUP($B7,'Cadastro de BC - Servidores'!$A$14:$O$123))</f>
        <v>2081.5</v>
      </c>
      <c r="F7" s="280">
        <f t="shared" si="0"/>
        <v>3599.5</v>
      </c>
      <c r="G7" s="76">
        <f>IF(B7="","",LOOKUP($B7,'Cadastro de BC - Servidores'!$A$14:$Q$123))</f>
        <v>325.35000000000002</v>
      </c>
      <c r="H7" s="76">
        <f>IF(B7="","",LOOKUP($B7,'Cadastro de BC - Servidores'!$A$14:$R$123))</f>
        <v>113.84999999999998</v>
      </c>
      <c r="I7" s="76">
        <f>IF(B7="","",LOOKUP($B7,'Cadastro de BC - Servidores'!$A$14:$T$123))</f>
        <v>211.50000000000006</v>
      </c>
      <c r="J7" s="543">
        <f t="shared" si="3"/>
        <v>325.35000000000002</v>
      </c>
      <c r="K7" s="76">
        <f>IF(B7="","",LOOKUP($B7,'Cadastro de BC - Servidores'!$A$14:$U$123))</f>
        <v>1404.15</v>
      </c>
      <c r="L7" s="76">
        <f>IF(B7="","",LOOKUP($B7,'Cadastro de BC - Servidores'!$A$14:$X$123))</f>
        <v>1870</v>
      </c>
      <c r="M7" s="76">
        <f t="shared" si="1"/>
        <v>3274.15</v>
      </c>
      <c r="N7" s="76">
        <f>IF(B7="","",LOOKUP($B7,'Cadastro de BC - Servidores'!$A$14:$Z$123))</f>
        <v>96.962499999999977</v>
      </c>
      <c r="O7" s="76">
        <f>IF(B7="","",LOOKUP($B7,'Cadastro de BC - Servidores'!$A$14:$AA$123))</f>
        <v>0</v>
      </c>
      <c r="P7" s="76">
        <f>IF(B7="","",LOOKUP($B7,'Cadastro de BC - Servidores'!$A$14:$AB$123))</f>
        <v>96.962499999999977</v>
      </c>
      <c r="Q7" s="77"/>
      <c r="R7" s="76">
        <f>IF(B7="","",LOOKUP($B7,'Cadastro de BC - Servidores'!$A$14:$AC$123))</f>
        <v>0</v>
      </c>
      <c r="S7" s="76">
        <f t="shared" si="4"/>
        <v>416.3</v>
      </c>
      <c r="T7" s="76">
        <f t="shared" si="2"/>
        <v>20.815000000000001</v>
      </c>
    </row>
    <row r="8" spans="2:20" ht="15" customHeight="1" x14ac:dyDescent="0.2">
      <c r="B8" s="74">
        <v>5</v>
      </c>
      <c r="C8" s="75" t="str">
        <f>IF(B8="","",LOOKUP($B8,'Cadastro de BC - Servidores'!A15:B133))</f>
        <v>Cinthia Rodrigues Neto</v>
      </c>
      <c r="D8" s="288">
        <f>IF(B8="","",LOOKUP($B8,'Cadastro de BC - Servidores'!$A$14:$N$123))</f>
        <v>1518</v>
      </c>
      <c r="E8" s="76">
        <f>IF(B8="","",LOOKUP($B8,'Cadastro de BC - Servidores'!$A$14:$O$123))</f>
        <v>2715</v>
      </c>
      <c r="F8" s="280">
        <f t="shared" si="0"/>
        <v>4233</v>
      </c>
      <c r="G8" s="76">
        <f>IF(B8="","",LOOKUP($B8,'Cadastro de BC - Servidores'!$A$14:$Q$123))</f>
        <v>402.22</v>
      </c>
      <c r="H8" s="76">
        <f>IF(B8="","",LOOKUP($B8,'Cadastro de BC - Servidores'!$A$14:$R$123))</f>
        <v>113.84999999999998</v>
      </c>
      <c r="I8" s="76">
        <f>IF(B8="","",LOOKUP($B8,'Cadastro de BC - Servidores'!$A$14:$T$123))</f>
        <v>288.37000000000006</v>
      </c>
      <c r="J8" s="543">
        <f t="shared" si="3"/>
        <v>402.22</v>
      </c>
      <c r="K8" s="76">
        <f>IF(B8="","",LOOKUP($B8,'Cadastro de BC - Servidores'!$A$14:$U$123))</f>
        <v>1404.15</v>
      </c>
      <c r="L8" s="76">
        <f>IF(B8="","",LOOKUP($B8,'Cadastro de BC - Servidores'!$A$14:$X$123))</f>
        <v>2426.63</v>
      </c>
      <c r="M8" s="76">
        <f t="shared" si="1"/>
        <v>3830.78</v>
      </c>
      <c r="N8" s="76">
        <f>IF(B8="","",LOOKUP($B8,'Cadastro de BC - Servidores'!$A$14:$Z$123))</f>
        <v>186.43550000000005</v>
      </c>
      <c r="O8" s="76">
        <f>IF(B8="","",LOOKUP($B8,'Cadastro de BC - Servidores'!$A$14:$AA$123))</f>
        <v>0</v>
      </c>
      <c r="P8" s="76">
        <f>IF(B8="","",LOOKUP($B8,'Cadastro de BC - Servidores'!$A$14:$AB$123))</f>
        <v>186.43550000000005</v>
      </c>
      <c r="Q8" s="77"/>
      <c r="R8" s="76">
        <f>IF(B8="","",LOOKUP($B8,'Cadastro de BC - Servidores'!$A$14:$AC$123))</f>
        <v>0</v>
      </c>
      <c r="S8" s="76">
        <f t="shared" si="4"/>
        <v>543</v>
      </c>
      <c r="T8" s="76">
        <f t="shared" si="2"/>
        <v>27.150000000000002</v>
      </c>
    </row>
    <row r="9" spans="2:20" ht="15" customHeight="1" x14ac:dyDescent="0.2">
      <c r="B9" s="74">
        <v>6</v>
      </c>
      <c r="C9" s="75" t="str">
        <f>IF(B9="","",LOOKUP($B9,'Cadastro de BC - Servidores'!A16:B134))</f>
        <v>Cristiane Barbosa Silva D. Freire</v>
      </c>
      <c r="D9" s="288">
        <f>IF(B9="","",LOOKUP($B9,'Cadastro de BC - Servidores'!$A$14:$N$123))</f>
        <v>0</v>
      </c>
      <c r="E9" s="76">
        <f>IF(B9="","",LOOKUP($B9,'Cadastro de BC - Servidores'!$A$14:$O$123))</f>
        <v>2715</v>
      </c>
      <c r="F9" s="280">
        <f t="shared" si="0"/>
        <v>2715</v>
      </c>
      <c r="G9" s="76">
        <f>IF(B9="","",LOOKUP($B9,'Cadastro de BC - Servidores'!$A$14:$Q$123))</f>
        <v>221.57999999999998</v>
      </c>
      <c r="H9" s="76">
        <f>IF(B9="","",LOOKUP($B9,'Cadastro de BC - Servidores'!$A$14:$R$123))</f>
        <v>0</v>
      </c>
      <c r="I9" s="76">
        <f>IF(B9="","",LOOKUP($B9,'Cadastro de BC - Servidores'!$A$14:$T$123))</f>
        <v>221.57999999999998</v>
      </c>
      <c r="J9" s="543">
        <f t="shared" si="3"/>
        <v>221.57999999999998</v>
      </c>
      <c r="K9" s="76">
        <f>IF(B9="","",LOOKUP($B9,'Cadastro de BC - Servidores'!$A$14:$U$123))</f>
        <v>0</v>
      </c>
      <c r="L9" s="76">
        <f>IF(B9="","",LOOKUP($B9,'Cadastro de BC - Servidores'!$A$14:$X$123))</f>
        <v>2493.42</v>
      </c>
      <c r="M9" s="76">
        <f t="shared" si="1"/>
        <v>2493.42</v>
      </c>
      <c r="N9" s="76">
        <f>IF(B9="","",LOOKUP($B9,'Cadastro de BC - Servidores'!$A$14:$Z$123))</f>
        <v>4.8464999999999634</v>
      </c>
      <c r="O9" s="76">
        <f>IF(B9="","",LOOKUP($B9,'Cadastro de BC - Servidores'!$A$14:$AA$123))</f>
        <v>0</v>
      </c>
      <c r="P9" s="76">
        <f>IF(B9="","",LOOKUP($B9,'Cadastro de BC - Servidores'!$A$14:$AB$123))</f>
        <v>4.8464999999999634</v>
      </c>
      <c r="Q9" s="77"/>
      <c r="R9" s="76">
        <f>IF(B9="","",LOOKUP($B9,'Cadastro de BC - Servidores'!$A$14:$AC$123))</f>
        <v>0</v>
      </c>
      <c r="S9" s="76">
        <f t="shared" si="4"/>
        <v>543</v>
      </c>
      <c r="T9" s="76">
        <f t="shared" si="2"/>
        <v>27.150000000000002</v>
      </c>
    </row>
    <row r="10" spans="2:20" x14ac:dyDescent="0.2">
      <c r="B10" s="74">
        <v>7</v>
      </c>
      <c r="C10" s="75" t="str">
        <f>IF(B10="","",LOOKUP($B10,'Cadastro de BC - Servidores'!A17:B135))</f>
        <v>Elba Cristiane de Souza Brandão</v>
      </c>
      <c r="D10" s="288">
        <f>IF(B10="","",LOOKUP($B10,'Cadastro de BC - Servidores'!$A$14:$N$123))</f>
        <v>1518</v>
      </c>
      <c r="E10" s="76">
        <f>IF(B10="","",LOOKUP($B10,'Cadastro de BC - Servidores'!$A$14:$O$123))</f>
        <v>2896</v>
      </c>
      <c r="F10" s="280">
        <f t="shared" si="0"/>
        <v>4414</v>
      </c>
      <c r="G10" s="76">
        <f>IF(B10="","",LOOKUP($B10,'Cadastro de BC - Servidores'!$A$14:$Q$123))</f>
        <v>427.56000000000006</v>
      </c>
      <c r="H10" s="76">
        <f>IF(B10="","",LOOKUP($B10,'Cadastro de BC - Servidores'!$A$14:$R$123))</f>
        <v>113.84999999999998</v>
      </c>
      <c r="I10" s="76">
        <f>IF(B10="","",LOOKUP($B10,'Cadastro de BC - Servidores'!$A$14:$T$123))</f>
        <v>313.71000000000009</v>
      </c>
      <c r="J10" s="543">
        <f t="shared" si="3"/>
        <v>427.56000000000006</v>
      </c>
      <c r="K10" s="76">
        <f>IF(B10="","",LOOKUP($B10,'Cadastro de BC - Servidores'!$A$14:$U$123))</f>
        <v>1404.15</v>
      </c>
      <c r="L10" s="76">
        <f>IF(B10="","",LOOKUP($B10,'Cadastro de BC - Servidores'!$A$14:$X$123))</f>
        <v>2582.29</v>
      </c>
      <c r="M10" s="76">
        <f t="shared" si="1"/>
        <v>3986.44</v>
      </c>
      <c r="N10" s="76">
        <f>IF(B10="","",LOOKUP($B10,'Cadastro de BC - Servidores'!$A$14:$Z$123))</f>
        <v>221.45900000000006</v>
      </c>
      <c r="O10" s="76">
        <f>IF(B10="","",LOOKUP($B10,'Cadastro de BC - Servidores'!$A$14:$AA$123))</f>
        <v>0</v>
      </c>
      <c r="P10" s="76">
        <f>IF(B10="","",LOOKUP($B10,'Cadastro de BC - Servidores'!$A$14:$AB$123))</f>
        <v>221.45900000000006</v>
      </c>
      <c r="Q10" s="77"/>
      <c r="R10" s="76">
        <f>IF(B10="","",LOOKUP($B10,'Cadastro de BC - Servidores'!$A$14:$AC$123))</f>
        <v>0</v>
      </c>
      <c r="S10" s="76">
        <f t="shared" si="4"/>
        <v>579.20000000000005</v>
      </c>
      <c r="T10" s="76">
        <f t="shared" si="2"/>
        <v>28.96</v>
      </c>
    </row>
    <row r="11" spans="2:20" x14ac:dyDescent="0.2">
      <c r="B11" s="74">
        <v>8</v>
      </c>
      <c r="C11" s="75" t="str">
        <f>IF(B11="","",LOOKUP($B11,'Cadastro de BC - Servidores'!A18:B136))</f>
        <v xml:space="preserve">Anderson Breno Vasconcelos </v>
      </c>
      <c r="D11" s="288">
        <f>IF(B11="","",LOOKUP($B11,'Cadastro de BC - Servidores'!$A$14:$N$123))</f>
        <v>1518</v>
      </c>
      <c r="E11" s="76">
        <f>IF(B11="","",LOOKUP($B11,'Cadastro de BC - Servidores'!$A$14:$O$123))</f>
        <v>1448</v>
      </c>
      <c r="F11" s="280">
        <f t="shared" si="0"/>
        <v>2966</v>
      </c>
      <c r="G11" s="76">
        <f>IF(B11="","",LOOKUP($B11,'Cadastro de BC - Servidores'!$A$14:$Q$123))</f>
        <v>249.32999999999996</v>
      </c>
      <c r="H11" s="76">
        <f>IF(B11="","",LOOKUP($B11,'Cadastro de BC - Servidores'!$A$14:$R$123))</f>
        <v>113.84999999999998</v>
      </c>
      <c r="I11" s="76">
        <f>IF(B11="","",LOOKUP($B11,'Cadastro de BC - Servidores'!$A$14:$T$123))</f>
        <v>135.47999999999996</v>
      </c>
      <c r="J11" s="543">
        <f t="shared" si="3"/>
        <v>249.32999999999993</v>
      </c>
      <c r="K11" s="76">
        <f>IF(B11="","",LOOKUP($B11,'Cadastro de BC - Servidores'!$A$14:$U$123))</f>
        <v>1404.15</v>
      </c>
      <c r="L11" s="76">
        <f>IF(B11="","",LOOKUP($B11,'Cadastro de BC - Servidores'!$A$14:$X$123))</f>
        <v>1312.52</v>
      </c>
      <c r="M11" s="76">
        <f t="shared" si="1"/>
        <v>2716.67</v>
      </c>
      <c r="N11" s="76">
        <f>IF(B11="","",LOOKUP($B11,'Cadastro de BC - Servidores'!$A$14:$Z$123))</f>
        <v>21.590249999999969</v>
      </c>
      <c r="O11" s="76">
        <f>IF(B11="","",LOOKUP($B11,'Cadastro de BC - Servidores'!$A$14:$AA$123))</f>
        <v>0</v>
      </c>
      <c r="P11" s="76">
        <f>IF(B11="","",LOOKUP($B11,'Cadastro de BC - Servidores'!$A$14:$AB$123))</f>
        <v>21.590249999999969</v>
      </c>
      <c r="Q11" s="77"/>
      <c r="R11" s="76">
        <f>IF(B11="","",LOOKUP($B11,'Cadastro de BC - Servidores'!$A$14:$AC$123))</f>
        <v>0</v>
      </c>
      <c r="S11" s="76">
        <f t="shared" si="4"/>
        <v>289.60000000000002</v>
      </c>
      <c r="T11" s="76">
        <f t="shared" si="2"/>
        <v>14.48</v>
      </c>
    </row>
    <row r="12" spans="2:20" x14ac:dyDescent="0.2">
      <c r="B12" s="74">
        <v>9</v>
      </c>
      <c r="C12" s="75" t="str">
        <f>IF(B12="","",LOOKUP($B12,'Cadastro de BC - Servidores'!A19:B137))</f>
        <v>Cristina Batista de Oliveira</v>
      </c>
      <c r="D12" s="288">
        <f>IF(B12="","",LOOKUP($B12,'Cadastro de BC - Servidores'!$A$14:$N$123))</f>
        <v>1551.74</v>
      </c>
      <c r="E12" s="76">
        <f>IF(B12="","",LOOKUP($B12,'Cadastro de BC - Servidores'!$A$14:$O$123))</f>
        <v>1991.0000000000002</v>
      </c>
      <c r="F12" s="280">
        <f t="shared" si="0"/>
        <v>3542.7400000000002</v>
      </c>
      <c r="G12" s="76">
        <f>IF(B12="","",LOOKUP($B12,'Cadastro de BC - Servidores'!$A$14:$Q$123))</f>
        <v>318.53880000000004</v>
      </c>
      <c r="H12" s="76">
        <f>IF(B12="","",LOOKUP($B12,'Cadastro de BC - Servidores'!$A$14:$R$123))</f>
        <v>116.8866</v>
      </c>
      <c r="I12" s="76">
        <f>IF(B12="","",LOOKUP($B12,'Cadastro de BC - Servidores'!$A$14:$T$123))</f>
        <v>201.65220000000005</v>
      </c>
      <c r="J12" s="543">
        <f t="shared" si="3"/>
        <v>318.53880000000004</v>
      </c>
      <c r="K12" s="76">
        <f>IF(B12="","",LOOKUP($B12,'Cadastro de BC - Servidores'!$A$14:$U$123))</f>
        <v>1434.8534</v>
      </c>
      <c r="L12" s="76">
        <f>IF(B12="","",LOOKUP($B12,'Cadastro de BC - Servidores'!$A$14:$X$123))</f>
        <v>1789.3478000000002</v>
      </c>
      <c r="M12" s="76">
        <f t="shared" si="1"/>
        <v>3224.2012000000004</v>
      </c>
      <c r="N12" s="76">
        <f>IF(B12="","",LOOKUP($B12,'Cadastro de BC - Servidores'!$A$14:$Z$123))</f>
        <v>89.470180000000028</v>
      </c>
      <c r="O12" s="76">
        <f>IF(B12="","",LOOKUP($B12,'Cadastro de BC - Servidores'!$A$14:$AA$123))</f>
        <v>0</v>
      </c>
      <c r="P12" s="76">
        <f>IF(B12="","",LOOKUP($B12,'Cadastro de BC - Servidores'!$A$14:$AB$123))</f>
        <v>89.470180000000028</v>
      </c>
      <c r="Q12" s="77"/>
      <c r="R12" s="76">
        <f>IF(B12="","",LOOKUP($B12,'Cadastro de BC - Servidores'!$A$14:$AC$123))</f>
        <v>0</v>
      </c>
      <c r="S12" s="76">
        <f t="shared" si="4"/>
        <v>398.20000000000005</v>
      </c>
      <c r="T12" s="76">
        <f t="shared" si="2"/>
        <v>19.910000000000004</v>
      </c>
    </row>
    <row r="13" spans="2:20" ht="15" customHeight="1" x14ac:dyDescent="0.2">
      <c r="B13" s="74">
        <v>10</v>
      </c>
      <c r="C13" s="75" t="str">
        <f>IF(B13="","",LOOKUP($B13,'Cadastro de BC - Servidores'!A19:B137))</f>
        <v>Glauber Andrade Nunes</v>
      </c>
      <c r="D13" s="288">
        <f>IF(B13="","",LOOKUP($B13,'Cadastro de BC - Servidores'!$A$14:$N$123))</f>
        <v>1518</v>
      </c>
      <c r="E13" s="76">
        <f>IF(B13="","",LOOKUP($B13,'Cadastro de BC - Servidores'!$A$14:$O$123))</f>
        <v>2533.9999999999995</v>
      </c>
      <c r="F13" s="280">
        <f t="shared" si="0"/>
        <v>4051.9999999999995</v>
      </c>
      <c r="G13" s="76">
        <f>IF(B13="","",LOOKUP($B13,'Cadastro de BC - Servidores'!$A$14:$Q$123))</f>
        <v>379.65</v>
      </c>
      <c r="H13" s="76">
        <f>IF(B13="","",LOOKUP($B13,'Cadastro de BC - Servidores'!$A$14:$R$123))</f>
        <v>113.84999999999998</v>
      </c>
      <c r="I13" s="76">
        <f>IF(B13="","",LOOKUP($B13,'Cadastro de BC - Servidores'!$A$14:$T$123))</f>
        <v>265.8</v>
      </c>
      <c r="J13" s="543">
        <f t="shared" si="3"/>
        <v>379.65</v>
      </c>
      <c r="K13" s="76">
        <f>IF(B13="","",LOOKUP($B13,'Cadastro de BC - Servidores'!$A$14:$U$123))</f>
        <v>1404.15</v>
      </c>
      <c r="L13" s="76">
        <f>IF(B13="","",LOOKUP($B13,'Cadastro de BC - Servidores'!$A$14:$X$123))</f>
        <v>2268.1999999999994</v>
      </c>
      <c r="M13" s="76">
        <f t="shared" si="1"/>
        <v>3672.3499999999995</v>
      </c>
      <c r="N13" s="76">
        <f>IF(B13="","",LOOKUP($B13,'Cadastro de BC - Servidores'!$A$14:$Z$123))</f>
        <v>156.69249999999982</v>
      </c>
      <c r="O13" s="76">
        <f>IF(B13="","",LOOKUP($B13,'Cadastro de BC - Servidores'!$A$14:$AA$123))</f>
        <v>0</v>
      </c>
      <c r="P13" s="76">
        <f>IF(B13="","",LOOKUP($B13,'Cadastro de BC - Servidores'!$A$14:$AB$123))</f>
        <v>156.69249999999982</v>
      </c>
      <c r="Q13" s="77"/>
      <c r="R13" s="76">
        <f>IF(B13="","",LOOKUP($B13,'Cadastro de BC - Servidores'!$A$14:$AC$123))</f>
        <v>0</v>
      </c>
      <c r="S13" s="76">
        <f t="shared" si="4"/>
        <v>506.79999999999995</v>
      </c>
      <c r="T13" s="76">
        <f t="shared" si="2"/>
        <v>25.339999999999996</v>
      </c>
    </row>
    <row r="14" spans="2:20" ht="15" customHeight="1" x14ac:dyDescent="0.2">
      <c r="B14" s="74">
        <v>11</v>
      </c>
      <c r="C14" s="75" t="str">
        <f>IF(B14="","",LOOKUP($B14,'Cadastro de BC - Servidores'!A20:B138))</f>
        <v xml:space="preserve">Maianne Mirelle Costa Santos </v>
      </c>
      <c r="D14" s="288">
        <f>IF(B14="","",LOOKUP($B14,'Cadastro de BC - Servidores'!$A$14:$N$123))</f>
        <v>1780.24</v>
      </c>
      <c r="E14" s="76">
        <f>IF(B14="","",LOOKUP($B14,'Cadastro de BC - Servidores'!$A$14:$O$123))</f>
        <v>1991.0000000000002</v>
      </c>
      <c r="F14" s="280">
        <f t="shared" si="0"/>
        <v>3771.2400000000002</v>
      </c>
      <c r="G14" s="76">
        <f>IF(B14="","",LOOKUP($B14,'Cadastro de BC - Servidores'!$A$14:$Q$123))</f>
        <v>345.9588</v>
      </c>
      <c r="H14" s="76">
        <f>IF(B14="","",LOOKUP($B14,'Cadastro de BC - Servidores'!$A$14:$R$123))</f>
        <v>137.45159999999998</v>
      </c>
      <c r="I14" s="76">
        <f>IF(B14="","",LOOKUP($B14,'Cadastro de BC - Servidores'!$A$14:$T$123))</f>
        <v>208.50720000000001</v>
      </c>
      <c r="J14" s="543">
        <f t="shared" si="3"/>
        <v>345.9588</v>
      </c>
      <c r="K14" s="76">
        <f>IF(B14="","",LOOKUP($B14,'Cadastro de BC - Servidores'!$A$14:$U$123))</f>
        <v>1642.7883999999999</v>
      </c>
      <c r="L14" s="76">
        <f>IF(B14="","",LOOKUP($B14,'Cadastro de BC - Servidores'!$A$14:$X$123))</f>
        <v>1782.4928000000002</v>
      </c>
      <c r="M14" s="76">
        <f t="shared" si="1"/>
        <v>3425.2812000000004</v>
      </c>
      <c r="N14" s="76">
        <f>IF(B14="","",LOOKUP($B14,'Cadastro de BC - Servidores'!$A$14:$Z$123))</f>
        <v>119.63218000000001</v>
      </c>
      <c r="O14" s="76">
        <f>IF(B14="","",LOOKUP($B14,'Cadastro de BC - Servidores'!$A$14:$AA$123))</f>
        <v>0</v>
      </c>
      <c r="P14" s="76">
        <f>IF(B14="","",LOOKUP($B14,'Cadastro de BC - Servidores'!$A$14:$AB$123))</f>
        <v>119.63218000000001</v>
      </c>
      <c r="Q14" s="77"/>
      <c r="R14" s="76">
        <f>IF(B14="","",LOOKUP($B14,'Cadastro de BC - Servidores'!$A$14:$AC$123))</f>
        <v>0</v>
      </c>
      <c r="S14" s="76">
        <f t="shared" si="4"/>
        <v>398.20000000000005</v>
      </c>
      <c r="T14" s="76">
        <f t="shared" si="2"/>
        <v>19.910000000000004</v>
      </c>
    </row>
    <row r="15" spans="2:20" ht="15" customHeight="1" x14ac:dyDescent="0.2">
      <c r="B15" s="74">
        <v>12</v>
      </c>
      <c r="C15" s="75" t="str">
        <f>IF(B15="","",LOOKUP($B15,'Cadastro de BC - Servidores'!A22:B139))</f>
        <v>Anny Karolinny Silva de Souza</v>
      </c>
      <c r="D15" s="288">
        <f>IF(B15="","",LOOKUP($B15,'Cadastro de BC - Servidores'!$A$14:$N$123))</f>
        <v>1518</v>
      </c>
      <c r="E15" s="76">
        <f>IF(B15="","",LOOKUP($B15,'Cadastro de BC - Servidores'!$A$14:$O$123))</f>
        <v>1448</v>
      </c>
      <c r="F15" s="280">
        <f t="shared" si="0"/>
        <v>2966</v>
      </c>
      <c r="G15" s="76">
        <f>IF(B15="","",LOOKUP($B15,'Cadastro de BC - Servidores'!$A$14:$Q$123))</f>
        <v>249.32999999999996</v>
      </c>
      <c r="H15" s="76">
        <f>IF(B15="","",LOOKUP($B15,'Cadastro de BC - Servidores'!$A$14:$R$123))</f>
        <v>113.84999999999998</v>
      </c>
      <c r="I15" s="76">
        <f>IF(B15="","",LOOKUP($B15,'Cadastro de BC - Servidores'!$A$14:$T$123))</f>
        <v>135.47999999999996</v>
      </c>
      <c r="J15" s="543">
        <f t="shared" si="3"/>
        <v>249.32999999999993</v>
      </c>
      <c r="K15" s="76">
        <f>IF(B15="","",LOOKUP($B15,'Cadastro de BC - Servidores'!$A$14:$U$123))</f>
        <v>1404.15</v>
      </c>
      <c r="L15" s="76">
        <f>IF(B15="","",LOOKUP($B15,'Cadastro de BC - Servidores'!$A$14:$X$123))</f>
        <v>1312.52</v>
      </c>
      <c r="M15" s="76">
        <f t="shared" si="1"/>
        <v>2716.67</v>
      </c>
      <c r="N15" s="76">
        <f>IF(B15="","",LOOKUP($B15,'Cadastro de BC - Servidores'!$A$14:$Z$123))</f>
        <v>21.590249999999969</v>
      </c>
      <c r="O15" s="76">
        <f>IF(B15="","",LOOKUP($B15,'Cadastro de BC - Servidores'!$A$14:$AA$123))</f>
        <v>0</v>
      </c>
      <c r="P15" s="76">
        <f>IF(B15="","",LOOKUP($B15,'Cadastro de BC - Servidores'!$A$14:$AB$123))</f>
        <v>21.590249999999969</v>
      </c>
      <c r="Q15" s="77"/>
      <c r="R15" s="76">
        <f>IF(B15="","",LOOKUP($B15,'Cadastro de BC - Servidores'!$A$14:$AC$123))</f>
        <v>0</v>
      </c>
      <c r="S15" s="76">
        <f t="shared" si="4"/>
        <v>289.60000000000002</v>
      </c>
      <c r="T15" s="76">
        <f t="shared" si="2"/>
        <v>14.48</v>
      </c>
    </row>
    <row r="16" spans="2:20" ht="15" customHeight="1" x14ac:dyDescent="0.2">
      <c r="B16" s="74">
        <v>13</v>
      </c>
      <c r="C16" s="75" t="str">
        <f>IF(B16="","",LOOKUP($B16,'Cadastro de BC - Servidores'!A22:B140))</f>
        <v>João Trivan Pereira Guimarães</v>
      </c>
      <c r="D16" s="288">
        <f>IF(B16="","",LOOKUP($B16,'Cadastro de BC - Servidores'!$A$14:$N$123))</f>
        <v>0</v>
      </c>
      <c r="E16" s="76">
        <f>IF(B16="","",LOOKUP($B16,'Cadastro de BC - Servidores'!$A$14:$O$123))</f>
        <v>1176.5</v>
      </c>
      <c r="F16" s="280">
        <f t="shared" si="0"/>
        <v>1176.5</v>
      </c>
      <c r="G16" s="76">
        <f>IF(B16="","",LOOKUP($B16,'Cadastro de BC - Servidores'!$A$14:$Q$123))</f>
        <v>88.237499999999983</v>
      </c>
      <c r="H16" s="76">
        <f>IF(B16="","",LOOKUP($B16,'Cadastro de BC - Servidores'!$A$14:$R$123))</f>
        <v>0</v>
      </c>
      <c r="I16" s="76">
        <f>IF(B16="","",LOOKUP($B16,'Cadastro de BC - Servidores'!$A$14:$T$123))</f>
        <v>88.237499999999983</v>
      </c>
      <c r="J16" s="543">
        <f t="shared" si="3"/>
        <v>88.237499999999983</v>
      </c>
      <c r="K16" s="76">
        <f>IF(B16="","",LOOKUP($B16,'Cadastro de BC - Servidores'!$A$14:$U$123))</f>
        <v>0</v>
      </c>
      <c r="L16" s="76">
        <f>IF(B16="","",LOOKUP($B16,'Cadastro de BC - Servidores'!$A$14:$X$123))</f>
        <v>1088.2625</v>
      </c>
      <c r="M16" s="76">
        <f t="shared" si="1"/>
        <v>1088.2625</v>
      </c>
      <c r="N16" s="76">
        <f>IF(B16="","",LOOKUP($B16,'Cadastro de BC - Servidores'!$A$14:$Z$123))</f>
        <v>0</v>
      </c>
      <c r="O16" s="76">
        <f>IF(B16="","",LOOKUP($B16,'Cadastro de BC - Servidores'!$A$14:$AA$123))</f>
        <v>0</v>
      </c>
      <c r="P16" s="76">
        <f>IF(B16="","",LOOKUP($B16,'Cadastro de BC - Servidores'!$A$14:$AB$123))</f>
        <v>0</v>
      </c>
      <c r="Q16" s="77"/>
      <c r="R16" s="76">
        <f>IF(B16="","",LOOKUP($B16,'Cadastro de BC - Servidores'!$A$14:$AC$123))</f>
        <v>0</v>
      </c>
      <c r="S16" s="76">
        <f t="shared" si="4"/>
        <v>235.3</v>
      </c>
      <c r="T16" s="76">
        <f t="shared" si="2"/>
        <v>11.765000000000001</v>
      </c>
    </row>
    <row r="17" spans="2:20" ht="15" customHeight="1" x14ac:dyDescent="0.2">
      <c r="B17" s="74">
        <v>14</v>
      </c>
      <c r="C17" s="75" t="str">
        <f>IF(B17="","",LOOKUP($B17,'Cadastro de BC - Servidores'!A23:B141))</f>
        <v>Luis Adriano Silva de Melo</v>
      </c>
      <c r="D17" s="288">
        <f>IF(B17="","",LOOKUP($B17,'Cadastro de BC - Servidores'!$A$14:$N$123))</f>
        <v>0</v>
      </c>
      <c r="E17" s="76">
        <f>IF(B17="","",LOOKUP($B17,'Cadastro de BC - Servidores'!$A$14:$O$123))</f>
        <v>2081.5</v>
      </c>
      <c r="F17" s="280">
        <f t="shared" si="0"/>
        <v>2081.5</v>
      </c>
      <c r="G17" s="76">
        <f>IF(B17="","",LOOKUP($B17,'Cadastro de BC - Servidores'!$A$14:$Q$123))</f>
        <v>164.56499999999997</v>
      </c>
      <c r="H17" s="76">
        <f>IF(B17="","",LOOKUP($B17,'Cadastro de BC - Servidores'!$A$14:$R$123))</f>
        <v>0</v>
      </c>
      <c r="I17" s="76">
        <f>IF(B17="","",LOOKUP($B17,'Cadastro de BC - Servidores'!$A$14:$T$123))</f>
        <v>164.56499999999997</v>
      </c>
      <c r="J17" s="543">
        <f t="shared" si="3"/>
        <v>164.56499999999997</v>
      </c>
      <c r="K17" s="76">
        <f>IF(B17="","",LOOKUP($B17,'Cadastro de BC - Servidores'!$A$14:$U$123))</f>
        <v>0</v>
      </c>
      <c r="L17" s="76">
        <f>IF(B17="","",LOOKUP($B17,'Cadastro de BC - Servidores'!$A$14:$X$123))</f>
        <v>1916.9349999999999</v>
      </c>
      <c r="M17" s="76">
        <f t="shared" si="1"/>
        <v>1916.9349999999999</v>
      </c>
      <c r="N17" s="76">
        <f>IF(B17="","",LOOKUP($B17,'Cadastro de BC - Servidores'!$A$14:$Z$123))</f>
        <v>0</v>
      </c>
      <c r="O17" s="76">
        <f>IF(B17="","",LOOKUP($B17,'Cadastro de BC - Servidores'!$A$14:$AA$123))</f>
        <v>0</v>
      </c>
      <c r="P17" s="76">
        <f>IF(B17="","",LOOKUP($B17,'Cadastro de BC - Servidores'!$A$14:$AB$123))</f>
        <v>0</v>
      </c>
      <c r="Q17" s="77"/>
      <c r="R17" s="76">
        <f>IF(B17="","",LOOKUP($B17,'Cadastro de BC - Servidores'!$A$14:$AC$123))</f>
        <v>0</v>
      </c>
      <c r="S17" s="76">
        <f t="shared" si="4"/>
        <v>416.3</v>
      </c>
      <c r="T17" s="76">
        <f t="shared" si="2"/>
        <v>20.815000000000001</v>
      </c>
    </row>
    <row r="18" spans="2:20" ht="15" customHeight="1" x14ac:dyDescent="0.2">
      <c r="B18" s="74">
        <v>15</v>
      </c>
      <c r="C18" s="75" t="str">
        <f>IF(B18="","",LOOKUP($B18,'Cadastro de BC - Servidores'!A24:B142))</f>
        <v>Luziane Cavalcante Ferreira</v>
      </c>
      <c r="D18" s="288">
        <f>IF(B18="","",LOOKUP($B18,'Cadastro de BC - Servidores'!$A$14:$N$123))</f>
        <v>2024</v>
      </c>
      <c r="E18" s="76">
        <f>IF(B18="","",LOOKUP($B18,'Cadastro de BC - Servidores'!$A$14:$O$123))</f>
        <v>905</v>
      </c>
      <c r="F18" s="280">
        <f t="shared" si="0"/>
        <v>2929</v>
      </c>
      <c r="G18" s="76">
        <f>IF(B18="","",LOOKUP($B18,'Cadastro de BC - Servidores'!$A$14:$Q$123))</f>
        <v>244.88999999999996</v>
      </c>
      <c r="H18" s="76">
        <f>IF(B18="","",LOOKUP($B18,'Cadastro de BC - Servidores'!$A$14:$R$123))</f>
        <v>159.38999999999999</v>
      </c>
      <c r="I18" s="76">
        <f>IF(B18="","",LOOKUP($B18,'Cadastro de BC - Servidores'!$A$14:$T$123))</f>
        <v>85.499999999999972</v>
      </c>
      <c r="J18" s="543">
        <f t="shared" si="3"/>
        <v>244.88999999999996</v>
      </c>
      <c r="K18" s="76">
        <f>IF(B18="","",LOOKUP($B18,'Cadastro de BC - Servidores'!$A$14:$U$123))</f>
        <v>1864.6100000000001</v>
      </c>
      <c r="L18" s="76">
        <f>IF(B18="","",LOOKUP($B18,'Cadastro de BC - Servidores'!$A$14:$X$123))</f>
        <v>819.5</v>
      </c>
      <c r="M18" s="76">
        <f t="shared" si="1"/>
        <v>2684.11</v>
      </c>
      <c r="N18" s="76">
        <f>IF(B18="","",LOOKUP($B18,'Cadastro de BC - Servidores'!$A$14:$Z$123))</f>
        <v>19.148249999999962</v>
      </c>
      <c r="O18" s="76">
        <f>IF(B18="","",LOOKUP($B18,'Cadastro de BC - Servidores'!$A$14:$AA$123))</f>
        <v>0</v>
      </c>
      <c r="P18" s="76">
        <f>IF(B18="","",LOOKUP($B18,'Cadastro de BC - Servidores'!$A$14:$AB$123))</f>
        <v>19.148249999999962</v>
      </c>
      <c r="Q18" s="77"/>
      <c r="R18" s="76">
        <f>IF(B18="","",LOOKUP($B18,'Cadastro de BC - Servidores'!$A$14:$AC$123))</f>
        <v>0</v>
      </c>
      <c r="S18" s="76">
        <f t="shared" si="4"/>
        <v>181</v>
      </c>
      <c r="T18" s="76">
        <f t="shared" si="2"/>
        <v>9.0500000000000007</v>
      </c>
    </row>
    <row r="19" spans="2:20" ht="15" customHeight="1" x14ac:dyDescent="0.2">
      <c r="B19" s="74">
        <v>16</v>
      </c>
      <c r="C19" s="75" t="str">
        <f>IF(B19="","",LOOKUP($B19,'Cadastro de BC - Servidores'!A25:B143))</f>
        <v>Barbara Santana de Andrade</v>
      </c>
      <c r="D19" s="288">
        <f>IF(B19="","",LOOKUP($B19,'Cadastro de BC - Servidores'!$A$14:$N$123))</f>
        <v>1518</v>
      </c>
      <c r="E19" s="76">
        <f>IF(B19="","",LOOKUP($B19,'Cadastro de BC - Servidores'!$A$14:$O$123))</f>
        <v>1991.0000000000002</v>
      </c>
      <c r="F19" s="280">
        <f t="shared" si="0"/>
        <v>3509</v>
      </c>
      <c r="G19" s="76">
        <f>IF(B19="","",LOOKUP($B19,'Cadastro de BC - Servidores'!$A$14:$Q$123))</f>
        <v>314.49</v>
      </c>
      <c r="H19" s="76">
        <f>IF(B19="","",LOOKUP($B19,'Cadastro de BC - Servidores'!$A$14:$R$123))</f>
        <v>113.84999999999998</v>
      </c>
      <c r="I19" s="76">
        <f>IF(B19="","",LOOKUP($B19,'Cadastro de BC - Servidores'!$A$14:$T$123))</f>
        <v>200.64000000000004</v>
      </c>
      <c r="J19" s="543">
        <f t="shared" si="3"/>
        <v>314.49</v>
      </c>
      <c r="K19" s="76">
        <f>IF(B19="","",LOOKUP($B19,'Cadastro de BC - Servidores'!$A$14:$U$123))</f>
        <v>1404.15</v>
      </c>
      <c r="L19" s="76">
        <f>IF(B19="","",LOOKUP($B19,'Cadastro de BC - Servidores'!$A$14:$X$123))</f>
        <v>1790.3600000000001</v>
      </c>
      <c r="M19" s="76">
        <f t="shared" si="1"/>
        <v>3194.51</v>
      </c>
      <c r="N19" s="76">
        <f>IF(B19="","",LOOKUP($B19,'Cadastro de BC - Servidores'!$A$14:$Z$123))</f>
        <v>85.016500000000008</v>
      </c>
      <c r="O19" s="76">
        <f>IF(B19="","",LOOKUP($B19,'Cadastro de BC - Servidores'!$A$14:$AA$123))</f>
        <v>0</v>
      </c>
      <c r="P19" s="76">
        <f>IF(B19="","",LOOKUP($B19,'Cadastro de BC - Servidores'!$A$14:$AB$123))</f>
        <v>85.016500000000008</v>
      </c>
      <c r="Q19" s="77"/>
      <c r="R19" s="76">
        <f>IF(B19="","",LOOKUP($B19,'Cadastro de BC - Servidores'!$A$14:$AC$123))</f>
        <v>0</v>
      </c>
      <c r="S19" s="76">
        <f t="shared" si="4"/>
        <v>398.20000000000005</v>
      </c>
      <c r="T19" s="76">
        <f t="shared" si="2"/>
        <v>19.910000000000004</v>
      </c>
    </row>
    <row r="20" spans="2:20" ht="15" customHeight="1" x14ac:dyDescent="0.2">
      <c r="B20" s="74">
        <v>17</v>
      </c>
      <c r="C20" s="75" t="str">
        <f>IF(B20="","",LOOKUP($B20,'Cadastro de BC - Servidores'!A26:B144))</f>
        <v>Mayra Oliveira Nunes Lima</v>
      </c>
      <c r="D20" s="288">
        <f>IF(B20="","",LOOKUP($B20,'Cadastro de BC - Servidores'!$A$14:$N$123))</f>
        <v>1518</v>
      </c>
      <c r="E20" s="76">
        <f>IF(B20="","",LOOKUP($B20,'Cadastro de BC - Servidores'!$A$14:$O$123))</f>
        <v>2715</v>
      </c>
      <c r="F20" s="280">
        <f t="shared" si="0"/>
        <v>4233</v>
      </c>
      <c r="G20" s="76">
        <f>IF(B20="","",LOOKUP($B20,'Cadastro de BC - Servidores'!$A$14:$Q$123))</f>
        <v>402.22</v>
      </c>
      <c r="H20" s="76">
        <f>IF(B20="","",LOOKUP($B20,'Cadastro de BC - Servidores'!$A$14:$R$123))</f>
        <v>113.84999999999998</v>
      </c>
      <c r="I20" s="76">
        <f>IF(B20="","",LOOKUP($B20,'Cadastro de BC - Servidores'!$A$14:$T$123))</f>
        <v>288.37000000000006</v>
      </c>
      <c r="J20" s="543">
        <f t="shared" si="3"/>
        <v>402.22</v>
      </c>
      <c r="K20" s="76">
        <f>IF(B20="","",LOOKUP($B20,'Cadastro de BC - Servidores'!$A$14:$U$123))</f>
        <v>1404.15</v>
      </c>
      <c r="L20" s="76">
        <f>IF(B20="","",LOOKUP($B20,'Cadastro de BC - Servidores'!$A$14:$X$123))</f>
        <v>2426.63</v>
      </c>
      <c r="M20" s="76">
        <f t="shared" si="1"/>
        <v>3830.78</v>
      </c>
      <c r="N20" s="76">
        <f>IF(B20="","",LOOKUP($B20,'Cadastro de BC - Servidores'!$A$14:$Z$123))</f>
        <v>186.43550000000005</v>
      </c>
      <c r="O20" s="76">
        <f>IF(B20="","",LOOKUP($B20,'Cadastro de BC - Servidores'!$A$14:$AA$123))</f>
        <v>0</v>
      </c>
      <c r="P20" s="76">
        <f>IF(B20="","",LOOKUP($B20,'Cadastro de BC - Servidores'!$A$14:$AB$123))</f>
        <v>186.43550000000005</v>
      </c>
      <c r="Q20" s="77"/>
      <c r="R20" s="76">
        <f>IF(B20="","",LOOKUP($B20,'Cadastro de BC - Servidores'!$A$14:$AC$123))</f>
        <v>0</v>
      </c>
      <c r="S20" s="76">
        <f t="shared" si="4"/>
        <v>543</v>
      </c>
      <c r="T20" s="76">
        <f t="shared" si="2"/>
        <v>27.150000000000002</v>
      </c>
    </row>
    <row r="21" spans="2:20" ht="15" customHeight="1" x14ac:dyDescent="0.2">
      <c r="B21" s="74">
        <v>18</v>
      </c>
      <c r="C21" s="75" t="str">
        <f>IF(B21="","",LOOKUP($B21,'Cadastro de BC - Servidores'!A27:B145))</f>
        <v>Reginaldo Santos Aragão</v>
      </c>
      <c r="D21" s="288">
        <f>IF(B21="","",LOOKUP($B21,'Cadastro de BC - Servidores'!$A$14:$N$123))</f>
        <v>0</v>
      </c>
      <c r="E21" s="76">
        <f>IF(B21="","",LOOKUP($B21,'Cadastro de BC - Servidores'!$A$14:$O$123))</f>
        <v>2172</v>
      </c>
      <c r="F21" s="280">
        <f t="shared" si="0"/>
        <v>2172</v>
      </c>
      <c r="G21" s="76">
        <f>IF(B21="","",LOOKUP($B21,'Cadastro de BC - Servidores'!$A$14:$Q$123))</f>
        <v>172.70999999999998</v>
      </c>
      <c r="H21" s="76">
        <f>IF(B21="","",LOOKUP($B21,'Cadastro de BC - Servidores'!$A$14:$R$123))</f>
        <v>0</v>
      </c>
      <c r="I21" s="76">
        <f>IF(B21="","",LOOKUP($B21,'Cadastro de BC - Servidores'!$A$14:$T$123))</f>
        <v>172.70999999999998</v>
      </c>
      <c r="J21" s="543">
        <f t="shared" si="3"/>
        <v>172.70999999999998</v>
      </c>
      <c r="K21" s="76">
        <f>IF(B21="","",LOOKUP($B21,'Cadastro de BC - Servidores'!$A$14:$U$123))</f>
        <v>0</v>
      </c>
      <c r="L21" s="76">
        <f>IF(B21="","",LOOKUP($B21,'Cadastro de BC - Servidores'!$A$14:$X$123))</f>
        <v>1999.29</v>
      </c>
      <c r="M21" s="76">
        <f t="shared" si="1"/>
        <v>1999.29</v>
      </c>
      <c r="N21" s="76">
        <f>IF(B21="","",LOOKUP($B21,'Cadastro de BC - Servidores'!$A$14:$Z$123))</f>
        <v>0</v>
      </c>
      <c r="O21" s="76">
        <f>IF(B21="","",LOOKUP($B21,'Cadastro de BC - Servidores'!$A$14:$AA$123))</f>
        <v>0</v>
      </c>
      <c r="P21" s="76">
        <f>IF(B21="","",LOOKUP($B21,'Cadastro de BC - Servidores'!$A$14:$AB$123))</f>
        <v>0</v>
      </c>
      <c r="Q21" s="77"/>
      <c r="R21" s="76">
        <f>IF(B21="","",LOOKUP($B21,'Cadastro de BC - Servidores'!$A$14:$AC$123))</f>
        <v>0</v>
      </c>
      <c r="S21" s="76">
        <f t="shared" si="4"/>
        <v>434.40000000000003</v>
      </c>
      <c r="T21" s="76">
        <f t="shared" si="2"/>
        <v>21.72</v>
      </c>
    </row>
    <row r="22" spans="2:20" ht="15" customHeight="1" x14ac:dyDescent="0.2">
      <c r="B22" s="74">
        <v>19</v>
      </c>
      <c r="C22" s="75" t="str">
        <f>IF(B22="","",LOOKUP($B22,'Cadastro de BC - Servidores'!A28:B146))</f>
        <v>Livia Felix Campos</v>
      </c>
      <c r="D22" s="288">
        <f>IF(B22="","",LOOKUP($B22,'Cadastro de BC - Servidores'!$A$14:$N$123))</f>
        <v>1518</v>
      </c>
      <c r="E22" s="76">
        <f>IF(B22="","",LOOKUP($B22,'Cadastro de BC - Servidores'!$A$14:$O$123))</f>
        <v>1357.5</v>
      </c>
      <c r="F22" s="280">
        <f t="shared" si="0"/>
        <v>2875.5</v>
      </c>
      <c r="G22" s="76">
        <f>IF(B22="","",LOOKUP($B22,'Cadastro de BC - Servidores'!$A$14:$Q$123))</f>
        <v>238.47</v>
      </c>
      <c r="H22" s="76">
        <f>IF(B22="","",LOOKUP($B22,'Cadastro de BC - Servidores'!$A$14:$R$123))</f>
        <v>113.84999999999998</v>
      </c>
      <c r="I22" s="76">
        <f>IF(B22="","",LOOKUP($B22,'Cadastro de BC - Servidores'!$A$14:$T$123))</f>
        <v>124.62000000000002</v>
      </c>
      <c r="J22" s="543">
        <f t="shared" si="3"/>
        <v>238.47</v>
      </c>
      <c r="K22" s="76">
        <f>IF(B22="","",LOOKUP($B22,'Cadastro de BC - Servidores'!$A$14:$U$123))</f>
        <v>1404.15</v>
      </c>
      <c r="L22" s="76">
        <f>IF(B22="","",LOOKUP($B22,'Cadastro de BC - Servidores'!$A$14:$X$123))</f>
        <v>1232.8799999999999</v>
      </c>
      <c r="M22" s="76">
        <f t="shared" si="1"/>
        <v>2637.0299999999997</v>
      </c>
      <c r="N22" s="76">
        <f>IF(B22="","",LOOKUP($B22,'Cadastro de BC - Servidores'!$A$14:$Z$123))</f>
        <v>15.617249999999927</v>
      </c>
      <c r="O22" s="76">
        <f>IF(B22="","",LOOKUP($B22,'Cadastro de BC - Servidores'!$A$14:$AA$123))</f>
        <v>0</v>
      </c>
      <c r="P22" s="76">
        <f>IF(B22="","",LOOKUP($B22,'Cadastro de BC - Servidores'!$A$14:$AB$123))</f>
        <v>15.617249999999927</v>
      </c>
      <c r="Q22" s="77"/>
      <c r="R22" s="76">
        <f>IF(B22="","",LOOKUP($B22,'Cadastro de BC - Servidores'!$A$14:$AC$123))</f>
        <v>0</v>
      </c>
      <c r="S22" s="76">
        <f t="shared" si="4"/>
        <v>271.5</v>
      </c>
      <c r="T22" s="76">
        <f t="shared" si="2"/>
        <v>13.575000000000001</v>
      </c>
    </row>
    <row r="23" spans="2:20" ht="15" customHeight="1" x14ac:dyDescent="0.2">
      <c r="B23" s="74">
        <v>20</v>
      </c>
      <c r="C23" s="75" t="str">
        <f>IF(B23="","",LOOKUP($B23,'Cadastro de BC - Servidores'!A29:B147))</f>
        <v xml:space="preserve">Elvis Cardoso da Mota </v>
      </c>
      <c r="D23" s="288">
        <f>IF(B23="","",LOOKUP($B23,'Cadastro de BC - Servidores'!$A$14:$N$123))</f>
        <v>1518</v>
      </c>
      <c r="E23" s="76">
        <f>IF(B23="","",LOOKUP($B23,'Cadastro de BC - Servidores'!$A$14:$O$123))</f>
        <v>1339.4</v>
      </c>
      <c r="F23" s="280">
        <f t="shared" si="0"/>
        <v>2857.4</v>
      </c>
      <c r="G23" s="76">
        <f>IF(B23="","",LOOKUP($B23,'Cadastro de BC - Servidores'!$A$14:$Q$123))</f>
        <v>236.29799999999997</v>
      </c>
      <c r="H23" s="76">
        <f>IF(B23="","",LOOKUP($B23,'Cadastro de BC - Servidores'!$A$14:$R$123))</f>
        <v>113.84999999999998</v>
      </c>
      <c r="I23" s="76">
        <f>IF(B23="","",LOOKUP($B23,'Cadastro de BC - Servidores'!$A$14:$T$123))</f>
        <v>122.44799999999999</v>
      </c>
      <c r="J23" s="543">
        <f t="shared" si="3"/>
        <v>236.29799999999997</v>
      </c>
      <c r="K23" s="76">
        <f>IF(B23="","",LOOKUP($B23,'Cadastro de BC - Servidores'!$A$14:$U$123))</f>
        <v>1404.15</v>
      </c>
      <c r="L23" s="76">
        <f>IF(B23="","",LOOKUP($B23,'Cadastro de BC - Servidores'!$A$14:$X$123))</f>
        <v>1216.952</v>
      </c>
      <c r="M23" s="76">
        <f t="shared" si="1"/>
        <v>2621.1019999999999</v>
      </c>
      <c r="N23" s="76">
        <f>IF(B23="","",LOOKUP($B23,'Cadastro de BC - Servidores'!$A$14:$Z$123))</f>
        <v>14.422649999999948</v>
      </c>
      <c r="O23" s="76">
        <f>IF(B23="","",LOOKUP($B23,'Cadastro de BC - Servidores'!$A$14:$AA$123))</f>
        <v>0</v>
      </c>
      <c r="P23" s="76">
        <f>IF(B23="","",LOOKUP($B23,'Cadastro de BC - Servidores'!$A$14:$AB$123))</f>
        <v>14.422649999999948</v>
      </c>
      <c r="Q23" s="77"/>
      <c r="R23" s="76">
        <f>IF(B23="","",LOOKUP($B23,'Cadastro de BC - Servidores'!$A$14:$AC$123))</f>
        <v>0</v>
      </c>
      <c r="S23" s="76">
        <f t="shared" si="4"/>
        <v>267.88000000000005</v>
      </c>
      <c r="T23" s="76">
        <f t="shared" si="2"/>
        <v>13.394000000000002</v>
      </c>
    </row>
    <row r="24" spans="2:20" ht="15" customHeight="1" x14ac:dyDescent="0.2">
      <c r="B24" s="476">
        <v>27</v>
      </c>
      <c r="C24" s="75" t="str">
        <f>IF(B24="","",LOOKUP($B24,'Cadastro de BC - Servidores'!A30:B148))</f>
        <v>Gleize Kelly Sobral Sousa</v>
      </c>
      <c r="D24" s="288">
        <f>IF(B24="","",LOOKUP($B24,'Cadastro de BC - Servidores'!$A$14:$N$123))</f>
        <v>0</v>
      </c>
      <c r="E24" s="76">
        <f>IF(B24="","",LOOKUP($B24,'Cadastro de BC - Servidores'!$A$14:$O$123))</f>
        <v>742.09999999999991</v>
      </c>
      <c r="F24" s="280">
        <f t="shared" ref="F24" si="5">SUM(D24:E24)</f>
        <v>742.09999999999991</v>
      </c>
      <c r="G24" s="76">
        <f>IF(B24="","",LOOKUP($B24,'Cadastro de BC - Servidores'!$A$14:$Q$123))</f>
        <v>55.657499999999978</v>
      </c>
      <c r="H24" s="76">
        <f>IF(B24="","",LOOKUP($B24,'Cadastro de BC - Servidores'!$A$14:$R$123))</f>
        <v>0</v>
      </c>
      <c r="I24" s="76">
        <f>IF(B24="","",LOOKUP($B24,'Cadastro de BC - Servidores'!$A$14:$T$123))</f>
        <v>55.657499999999978</v>
      </c>
      <c r="J24" s="543">
        <f t="shared" si="3"/>
        <v>55.657499999999978</v>
      </c>
      <c r="K24" s="76">
        <f>IF(B24="","",LOOKUP($B24,'Cadastro de BC - Servidores'!$A$14:$U$123))</f>
        <v>0</v>
      </c>
      <c r="L24" s="76">
        <f>IF(B24="","",LOOKUP($B24,'Cadastro de BC - Servidores'!$A$14:$X$123))</f>
        <v>686.44249999999988</v>
      </c>
      <c r="M24" s="76">
        <f t="shared" ref="M24" si="6">SUM(K24:L24)</f>
        <v>686.44249999999988</v>
      </c>
      <c r="N24" s="76">
        <f>IF(B24="","",LOOKUP($B24,'Cadastro de BC - Servidores'!$A$14:$Z$123))</f>
        <v>0</v>
      </c>
      <c r="O24" s="76">
        <f>IF(B24="","",LOOKUP($B24,'Cadastro de BC - Servidores'!$A$14:$AA$123))</f>
        <v>0</v>
      </c>
      <c r="P24" s="76">
        <f>IF(B24="","",LOOKUP($B24,'Cadastro de BC - Servidores'!$A$14:$AB$123))</f>
        <v>0</v>
      </c>
      <c r="Q24" s="77"/>
      <c r="R24" s="76">
        <f>IF(B24="","",LOOKUP($B24,'Cadastro de BC - Servidores'!$A$14:$AC$123))</f>
        <v>0</v>
      </c>
      <c r="S24" s="76">
        <f t="shared" ref="S24" si="7">E24*20%</f>
        <v>148.41999999999999</v>
      </c>
      <c r="T24" s="76">
        <f t="shared" ref="T24" si="8">E24*1%</f>
        <v>7.4209999999999994</v>
      </c>
    </row>
    <row r="25" spans="2:20" ht="15" customHeight="1" x14ac:dyDescent="0.2">
      <c r="B25" s="74">
        <v>29</v>
      </c>
      <c r="C25" s="75" t="str">
        <f>IF(B25="","",LOOKUP($B25,'Cadastro de BC - Servidores'!A30:B148))</f>
        <v>Leonardo Santos Lima</v>
      </c>
      <c r="D25" s="288">
        <f>IF(B25="","",LOOKUP($B25,'Cadastro de BC - Servidores'!$A$14:$N$123))</f>
        <v>0</v>
      </c>
      <c r="E25" s="76">
        <f>IF(B25="","",LOOKUP($B25,'Cadastro de BC - Servidores'!$A$14:$O$123))</f>
        <v>742.09999999999991</v>
      </c>
      <c r="F25" s="280">
        <f t="shared" ref="F25" si="9">SUM(D25:E25)</f>
        <v>742.09999999999991</v>
      </c>
      <c r="G25" s="76">
        <f>IF(B25="","",LOOKUP($B25,'Cadastro de BC - Servidores'!$A$14:$Q$123))</f>
        <v>55.657499999999978</v>
      </c>
      <c r="H25" s="76">
        <f>IF(B25="","",LOOKUP($B25,'Cadastro de BC - Servidores'!$A$14:$R$123))</f>
        <v>0</v>
      </c>
      <c r="I25" s="76">
        <f>IF(B25="","",LOOKUP($B25,'Cadastro de BC - Servidores'!$A$14:$T$123))</f>
        <v>55.657499999999978</v>
      </c>
      <c r="J25" s="543">
        <f t="shared" si="3"/>
        <v>55.657499999999978</v>
      </c>
      <c r="K25" s="76">
        <f>IF(B25="","",LOOKUP($B25,'Cadastro de BC - Servidores'!$A$14:$U$123))</f>
        <v>0</v>
      </c>
      <c r="L25" s="76">
        <f>IF(B25="","",LOOKUP($B25,'Cadastro de BC - Servidores'!$A$14:$X$123))</f>
        <v>686.44249999999988</v>
      </c>
      <c r="M25" s="76">
        <f t="shared" ref="M25" si="10">SUM(K25:L25)</f>
        <v>686.44249999999988</v>
      </c>
      <c r="N25" s="76">
        <f>IF(B25="","",LOOKUP($B25,'Cadastro de BC - Servidores'!$A$14:$Z$123))</f>
        <v>0</v>
      </c>
      <c r="O25" s="76">
        <f>IF(B25="","",LOOKUP($B25,'Cadastro de BC - Servidores'!$A$14:$AA$123))</f>
        <v>0</v>
      </c>
      <c r="P25" s="76">
        <f>IF(B25="","",LOOKUP($B25,'Cadastro de BC - Servidores'!$A$14:$AB$123))</f>
        <v>0</v>
      </c>
      <c r="Q25" s="77"/>
      <c r="R25" s="76">
        <f>IF(B25="","",LOOKUP($B25,'Cadastro de BC - Servidores'!$A$14:$AC$123))</f>
        <v>0</v>
      </c>
      <c r="S25" s="76">
        <f t="shared" ref="S25" si="11">E25*20%</f>
        <v>148.41999999999999</v>
      </c>
      <c r="T25" s="76">
        <f t="shared" ref="T25" si="12">E25*1%</f>
        <v>7.4209999999999994</v>
      </c>
    </row>
    <row r="26" spans="2:20" x14ac:dyDescent="0.2">
      <c r="B26" s="74">
        <v>30</v>
      </c>
      <c r="C26" s="75" t="str">
        <f>IF(B26="","",LOOKUP($B26,'Cadastro de BC - Servidores'!A31:B149))</f>
        <v>Marcia Gabriela da Cruz Santos</v>
      </c>
      <c r="D26" s="288">
        <f>IF(B26="","",LOOKUP($B26,'Cadastro de BC - Servidores'!$A$14:$N$123))</f>
        <v>1518</v>
      </c>
      <c r="E26" s="76">
        <f>IF(B26="","",LOOKUP($B26,'Cadastro de BC - Servidores'!$A$14:$O$123))</f>
        <v>2172</v>
      </c>
      <c r="F26" s="280">
        <f t="shared" si="0"/>
        <v>3690</v>
      </c>
      <c r="G26" s="76">
        <f>IF(B26="","",LOOKUP($B26,'Cadastro de BC - Servidores'!$A$14:$Q$123))</f>
        <v>336.21000000000004</v>
      </c>
      <c r="H26" s="76">
        <f>IF(B26="","",LOOKUP($B26,'Cadastro de BC - Servidores'!$A$14:$R$123))</f>
        <v>113.84999999999998</v>
      </c>
      <c r="I26" s="76">
        <f>IF(B26="","",LOOKUP($B26,'Cadastro de BC - Servidores'!$A$14:$T$123))</f>
        <v>222.36000000000007</v>
      </c>
      <c r="J26" s="543">
        <f t="shared" si="3"/>
        <v>336.21000000000004</v>
      </c>
      <c r="K26" s="76">
        <f>IF(B26="","",LOOKUP($B26,'Cadastro de BC - Servidores'!$A$14:$U$123))</f>
        <v>1404.15</v>
      </c>
      <c r="L26" s="76">
        <f>IF(B26="","",LOOKUP($B26,'Cadastro de BC - Servidores'!$A$14:$X$123))</f>
        <v>1949.6399999999999</v>
      </c>
      <c r="M26" s="76">
        <f t="shared" si="1"/>
        <v>3353.79</v>
      </c>
      <c r="N26" s="76">
        <f>IF(B26="","",LOOKUP($B26,'Cadastro de BC - Servidores'!$A$14:$Z$123))</f>
        <v>108.90849999999995</v>
      </c>
      <c r="O26" s="76">
        <f>IF(B26="","",LOOKUP($B26,'Cadastro de BC - Servidores'!$A$14:$AA$123))</f>
        <v>0</v>
      </c>
      <c r="P26" s="76">
        <f>IF(B26="","",LOOKUP($B26,'Cadastro de BC - Servidores'!$A$14:$AB$123))</f>
        <v>108.90849999999995</v>
      </c>
      <c r="Q26" s="77"/>
      <c r="R26" s="76">
        <f>IF(B26="","",LOOKUP($B26,'Cadastro de BC - Servidores'!$A$14:$AC$123))</f>
        <v>0</v>
      </c>
      <c r="S26" s="76">
        <f t="shared" si="4"/>
        <v>434.40000000000003</v>
      </c>
      <c r="T26" s="76">
        <f t="shared" si="2"/>
        <v>21.72</v>
      </c>
    </row>
    <row r="27" spans="2:20" x14ac:dyDescent="0.2">
      <c r="B27" s="74">
        <v>32</v>
      </c>
      <c r="C27" s="75" t="str">
        <f>IF(B27="","",LOOKUP($B27,'Cadastro de BC - Servidores'!A31:B149))</f>
        <v>Deborah Sena França</v>
      </c>
      <c r="D27" s="288">
        <f>IF(B27="","",LOOKUP($B27,'Cadastro de BC - Servidores'!$A$14:$N$123))</f>
        <v>0</v>
      </c>
      <c r="E27" s="76">
        <f>IF(B27="","",LOOKUP($B27,'Cadastro de BC - Servidores'!$A$14:$O$123))</f>
        <v>814.50000000000011</v>
      </c>
      <c r="F27" s="280">
        <f t="shared" si="0"/>
        <v>814.50000000000011</v>
      </c>
      <c r="G27" s="76">
        <f>IF(B27="","",LOOKUP($B27,'Cadastro de BC - Servidores'!$A$14:$Q$123))</f>
        <v>61.087499999999991</v>
      </c>
      <c r="H27" s="76">
        <f>IF(B27="","",LOOKUP($B27,'Cadastro de BC - Servidores'!$A$14:$R$123))</f>
        <v>0</v>
      </c>
      <c r="I27" s="76">
        <f>IF(B27="","",LOOKUP($B27,'Cadastro de BC - Servidores'!$A$14:$T$123))</f>
        <v>61.087499999999991</v>
      </c>
      <c r="J27" s="543">
        <f t="shared" si="3"/>
        <v>61.087499999999991</v>
      </c>
      <c r="K27" s="76">
        <f>IF(B27="","",LOOKUP($B27,'Cadastro de BC - Servidores'!$A$14:$U$123))</f>
        <v>0</v>
      </c>
      <c r="L27" s="76">
        <f>IF(B27="","",LOOKUP($B27,'Cadastro de BC - Servidores'!$A$14:$X$123))</f>
        <v>753.41250000000014</v>
      </c>
      <c r="M27" s="76">
        <f t="shared" si="1"/>
        <v>753.41250000000014</v>
      </c>
      <c r="N27" s="76">
        <f>IF(B27="","",LOOKUP($B27,'Cadastro de BC - Servidores'!$A$14:$Z$123))</f>
        <v>0</v>
      </c>
      <c r="O27" s="76">
        <f>IF(B27="","",LOOKUP($B27,'Cadastro de BC - Servidores'!$A$14:$AA$123))</f>
        <v>0</v>
      </c>
      <c r="P27" s="76">
        <f>IF(B27="","",LOOKUP($B27,'Cadastro de BC - Servidores'!$A$14:$AB$123))</f>
        <v>0</v>
      </c>
      <c r="Q27" s="77"/>
      <c r="R27" s="76">
        <f>IF(B27="","",LOOKUP($B27,'Cadastro de BC - Servidores'!$A$14:$AC$123))</f>
        <v>0</v>
      </c>
      <c r="S27" s="76">
        <f t="shared" si="4"/>
        <v>162.90000000000003</v>
      </c>
      <c r="T27" s="76">
        <f t="shared" si="2"/>
        <v>8.1450000000000014</v>
      </c>
    </row>
    <row r="28" spans="2:20" x14ac:dyDescent="0.2">
      <c r="B28" s="476">
        <v>35</v>
      </c>
      <c r="C28" s="75" t="str">
        <f>IF(B28="","",LOOKUP($B28,'Cadastro de BC - Servidores'!A32:B150))</f>
        <v>Alan Gabriel Santos Ribeiro</v>
      </c>
      <c r="D28" s="288">
        <f>IF(B28="","",LOOKUP($B28,'Cadastro de BC - Servidores'!$A$14:$N$123))</f>
        <v>1518</v>
      </c>
      <c r="E28" s="76">
        <f>IF(B28="","",LOOKUP($B28,'Cadastro de BC - Servidores'!$A$14:$O$123))</f>
        <v>1176.5</v>
      </c>
      <c r="F28" s="280">
        <f t="shared" si="0"/>
        <v>2694.5</v>
      </c>
      <c r="G28" s="76">
        <f>IF(B28="","",LOOKUP($B28,'Cadastro de BC - Servidores'!$A$14:$Q$123))</f>
        <v>219.73499999999999</v>
      </c>
      <c r="H28" s="76">
        <f>IF(B28="","",LOOKUP($B28,'Cadastro de BC - Servidores'!$A$14:$R$123))</f>
        <v>113.84999999999998</v>
      </c>
      <c r="I28" s="76">
        <f>IF(B28="","",LOOKUP($B28,'Cadastro de BC - Servidores'!$A$14:$T$123))</f>
        <v>105.88500000000001</v>
      </c>
      <c r="J28" s="543">
        <f t="shared" si="3"/>
        <v>219.73499999999999</v>
      </c>
      <c r="K28" s="76">
        <f>IF(B28="","",LOOKUP($B28,'Cadastro de BC - Servidores'!$A$14:$U$123))</f>
        <v>1404.15</v>
      </c>
      <c r="L28" s="76">
        <f>IF(B28="","",LOOKUP($B28,'Cadastro de BC - Servidores'!$A$14:$X$123))</f>
        <v>1070.615</v>
      </c>
      <c r="M28" s="76">
        <f t="shared" si="1"/>
        <v>2474.7650000000003</v>
      </c>
      <c r="N28" s="76">
        <f>IF(B28="","",LOOKUP($B28,'Cadastro de BC - Servidores'!$A$14:$Z$123))</f>
        <v>3.4473749999999939</v>
      </c>
      <c r="O28" s="76">
        <f>IF(B28="","",LOOKUP($B28,'Cadastro de BC - Servidores'!$A$14:$AA$123))</f>
        <v>0</v>
      </c>
      <c r="P28" s="76">
        <f>IF(B28="","",LOOKUP($B28,'Cadastro de BC - Servidores'!$A$14:$AB$123))</f>
        <v>3.4473749999999939</v>
      </c>
      <c r="Q28" s="477"/>
      <c r="R28" s="76">
        <f>IF(B28="","",LOOKUP($B28,'Cadastro de BC - Servidores'!$A$14:$AC$123))</f>
        <v>0</v>
      </c>
      <c r="S28" s="76">
        <f t="shared" si="4"/>
        <v>235.3</v>
      </c>
      <c r="T28" s="76">
        <f t="shared" si="2"/>
        <v>11.765000000000001</v>
      </c>
    </row>
    <row r="29" spans="2:20" x14ac:dyDescent="0.2">
      <c r="B29" s="476">
        <v>37</v>
      </c>
      <c r="C29" s="75" t="str">
        <f>IF(B29="","",LOOKUP($B29,'Cadastro de BC - Servidores'!A31:B149))</f>
        <v>Itamar Sandes Santos</v>
      </c>
      <c r="D29" s="288">
        <f>IF(B29="","",LOOKUP($B29,'Cadastro de BC - Servidores'!$A$14:$N$123))</f>
        <v>3157.38</v>
      </c>
      <c r="E29" s="76">
        <f>IF(B29="","",LOOKUP($B29,'Cadastro de BC - Servidores'!$A$14:$O$123))</f>
        <v>2533.9999999999995</v>
      </c>
      <c r="F29" s="280">
        <f t="shared" ref="F29" si="13">SUM(D29:E29)</f>
        <v>5691.3799999999992</v>
      </c>
      <c r="G29" s="76">
        <f>IF(B29="","",LOOKUP($B29,'Cadastro de BC - Servidores'!$A$14:$Q$123))</f>
        <v>606.39319999999998</v>
      </c>
      <c r="H29" s="76">
        <f>IF(B29="","",LOOKUP($B29,'Cadastro de BC - Servidores'!$A$14:$R$123))</f>
        <v>272.29560000000004</v>
      </c>
      <c r="I29" s="76">
        <f>IF(B29="","",LOOKUP($B29,'Cadastro de BC - Servidores'!$A$14:$T$123))</f>
        <v>334.09759999999994</v>
      </c>
      <c r="J29" s="543">
        <f t="shared" si="3"/>
        <v>606.39319999999998</v>
      </c>
      <c r="K29" s="76">
        <f>IF(B29="","",LOOKUP($B29,'Cadastro de BC - Servidores'!$A$14:$U$123))</f>
        <v>2885.0844000000002</v>
      </c>
      <c r="L29" s="76">
        <f>IF(B29="","",LOOKUP($B29,'Cadastro de BC - Servidores'!$A$14:$X$123))</f>
        <v>2199.9023999999995</v>
      </c>
      <c r="M29" s="76">
        <f t="shared" ref="M29" si="14">SUM(K29:L29)</f>
        <v>5084.9867999999997</v>
      </c>
      <c r="N29" s="76">
        <f>IF(B29="","",LOOKUP($B29,'Cadastro de BC - Servidores'!$A$14:$Z$123))</f>
        <v>489.64137000000005</v>
      </c>
      <c r="O29" s="76">
        <f>IF(B29="","",LOOKUP($B29,'Cadastro de BC - Servidores'!$A$14:$AA$123))</f>
        <v>38.602660000000014</v>
      </c>
      <c r="P29" s="76">
        <f>IF(B29="","",LOOKUP($B29,'Cadastro de BC - Servidores'!$A$14:$AB$123))</f>
        <v>451.03871000000004</v>
      </c>
      <c r="Q29" s="77"/>
      <c r="R29" s="76">
        <f>IF(B29="","",LOOKUP($B29,'Cadastro de BC - Servidores'!$A$14:$AC$123))</f>
        <v>0</v>
      </c>
      <c r="S29" s="76">
        <f t="shared" ref="S29" si="15">E29*20%</f>
        <v>506.79999999999995</v>
      </c>
      <c r="T29" s="76">
        <f t="shared" si="2"/>
        <v>25.339999999999996</v>
      </c>
    </row>
    <row r="30" spans="2:20" x14ac:dyDescent="0.2">
      <c r="B30" s="74">
        <v>39</v>
      </c>
      <c r="C30" s="75" t="str">
        <f>IF(B30="","",LOOKUP($B30,'Cadastro de BC - Servidores'!A32:B150))</f>
        <v>Carlos André Carvalho Santana Souza</v>
      </c>
      <c r="D30" s="288">
        <f>IF(B30="","",LOOKUP($B30,'Cadastro de BC - Servidores'!$A$14:$N$123))</f>
        <v>0</v>
      </c>
      <c r="E30" s="76">
        <f>IF(B30="","",LOOKUP($B30,'Cadastro de BC - Servidores'!$A$14:$O$123))</f>
        <v>1448</v>
      </c>
      <c r="F30" s="280">
        <f t="shared" si="0"/>
        <v>1448</v>
      </c>
      <c r="G30" s="76">
        <f>IF(B30="","",LOOKUP($B30,'Cadastro de BC - Servidores'!$A$14:$Q$123))</f>
        <v>108.59999999999998</v>
      </c>
      <c r="H30" s="76">
        <f>IF(B30="","",LOOKUP($B30,'Cadastro de BC - Servidores'!$A$14:$R$123))</f>
        <v>0</v>
      </c>
      <c r="I30" s="76">
        <f>IF(B30="","",LOOKUP($B30,'Cadastro de BC - Servidores'!$A$14:$T$123))</f>
        <v>108.59999999999998</v>
      </c>
      <c r="J30" s="543">
        <f t="shared" si="3"/>
        <v>108.59999999999998</v>
      </c>
      <c r="K30" s="76">
        <f>IF(B30="","",LOOKUP($B30,'Cadastro de BC - Servidores'!$A$14:$U$123))</f>
        <v>0</v>
      </c>
      <c r="L30" s="76">
        <f>IF(B30="","",LOOKUP($B30,'Cadastro de BC - Servidores'!$A$14:$X$123))</f>
        <v>1339.4</v>
      </c>
      <c r="M30" s="76">
        <f t="shared" si="1"/>
        <v>1339.4</v>
      </c>
      <c r="N30" s="76">
        <f>IF(B30="","",LOOKUP($B30,'Cadastro de BC - Servidores'!$A$14:$Z$123))</f>
        <v>0</v>
      </c>
      <c r="O30" s="76">
        <f>IF(B30="","",LOOKUP($B30,'Cadastro de BC - Servidores'!$A$14:$AA$123))</f>
        <v>0</v>
      </c>
      <c r="P30" s="76">
        <f>IF(B30="","",LOOKUP($B30,'Cadastro de BC - Servidores'!$A$14:$AB$123))</f>
        <v>0</v>
      </c>
      <c r="Q30" s="77"/>
      <c r="R30" s="76">
        <f>IF(B30="","",LOOKUP($B30,'Cadastro de BC - Servidores'!$A$14:$AC$123))</f>
        <v>0</v>
      </c>
      <c r="S30" s="76">
        <f t="shared" si="4"/>
        <v>289.60000000000002</v>
      </c>
      <c r="T30" s="76">
        <f t="shared" si="2"/>
        <v>14.48</v>
      </c>
    </row>
    <row r="31" spans="2:20" x14ac:dyDescent="0.2">
      <c r="B31" s="476">
        <v>45</v>
      </c>
      <c r="C31" s="75" t="str">
        <f>IF(B31="","",LOOKUP($B31,'Cadastro de BC - Servidores'!A33:B151))</f>
        <v>André Rodrigues Freire Menezes Lucas</v>
      </c>
      <c r="D31" s="288">
        <f>IF(B31="","",LOOKUP($B31,'Cadastro de BC - Servidores'!$A$14:$N$123))</f>
        <v>0</v>
      </c>
      <c r="E31" s="76">
        <f>IF(B31="","",LOOKUP($B31,'Cadastro de BC - Servidores'!$A$14:$O$123))</f>
        <v>1357.5</v>
      </c>
      <c r="F31" s="280">
        <f>SUM(D31:E31)</f>
        <v>1357.5</v>
      </c>
      <c r="G31" s="76">
        <f>IF(B31="","",LOOKUP($B31,'Cadastro de BC - Servidores'!$A$14:$Q$123))</f>
        <v>101.81249999999997</v>
      </c>
      <c r="H31" s="76">
        <f>IF(B31="","",LOOKUP($B31,'Cadastro de BC - Servidores'!$A$14:$R$123))</f>
        <v>0</v>
      </c>
      <c r="I31" s="76">
        <f>IF(B31="","",LOOKUP($B31,'Cadastro de BC - Servidores'!$A$14:$T$123))</f>
        <v>101.81249999999997</v>
      </c>
      <c r="J31" s="543">
        <f t="shared" si="3"/>
        <v>101.81249999999997</v>
      </c>
      <c r="K31" s="76">
        <f>IF(B31="","",LOOKUP($B31,'Cadastro de BC - Servidores'!$A$14:$U$123))</f>
        <v>0</v>
      </c>
      <c r="L31" s="76">
        <f>IF(B31="","",LOOKUP($B31,'Cadastro de BC - Servidores'!$A$14:$X$123))</f>
        <v>1255.6875</v>
      </c>
      <c r="M31" s="76">
        <f>SUM(K31:L31)</f>
        <v>1255.6875</v>
      </c>
      <c r="N31" s="76">
        <f>IF(B31="","",LOOKUP($B31,'Cadastro de BC - Servidores'!$A$14:$Z$123))</f>
        <v>0</v>
      </c>
      <c r="O31" s="76">
        <f>IF(B31="","",LOOKUP($B31,'Cadastro de BC - Servidores'!$A$14:$AA$123))</f>
        <v>0</v>
      </c>
      <c r="P31" s="76">
        <f>IF(B31="","",LOOKUP($B31,'Cadastro de BC - Servidores'!$A$14:$AB$123))</f>
        <v>0</v>
      </c>
      <c r="Q31" s="77"/>
      <c r="R31" s="76">
        <f>IF(B31="","",LOOKUP($B31,'Cadastro de BC - Servidores'!$A$14:$AC$123))</f>
        <v>0</v>
      </c>
      <c r="S31" s="76">
        <f>E31*20%</f>
        <v>271.5</v>
      </c>
      <c r="T31" s="76">
        <f t="shared" si="2"/>
        <v>13.575000000000001</v>
      </c>
    </row>
    <row r="32" spans="2:20" x14ac:dyDescent="0.2">
      <c r="B32" s="476">
        <v>54</v>
      </c>
      <c r="C32" s="75" t="str">
        <f>IF(B32="","",LOOKUP($B32,'Cadastro de BC - Servidores'!A34:B152))</f>
        <v>Maria Angélica Felizola Leão</v>
      </c>
      <c r="D32" s="288">
        <f>IF(B32="","",LOOKUP($B32,'Cadastro de BC - Servidores'!$A$14:$N$123))</f>
        <v>0</v>
      </c>
      <c r="E32" s="76">
        <f>IF(B32="","",LOOKUP($B32,'Cadastro de BC - Servidores'!$A$14:$O$123))</f>
        <v>742.09999999999991</v>
      </c>
      <c r="F32" s="280">
        <f>SUM(D32:E32)</f>
        <v>742.09999999999991</v>
      </c>
      <c r="G32" s="76">
        <f>IF(B32="","",LOOKUP($B32,'Cadastro de BC - Servidores'!$A$14:$Q$123))</f>
        <v>55.657499999999978</v>
      </c>
      <c r="H32" s="76">
        <f>IF(B32="","",LOOKUP($B32,'Cadastro de BC - Servidores'!$A$14:$R$123))</f>
        <v>0</v>
      </c>
      <c r="I32" s="76">
        <f>IF(B32="","",LOOKUP($B32,'Cadastro de BC - Servidores'!$A$14:$T$123))</f>
        <v>55.657499999999978</v>
      </c>
      <c r="J32" s="543">
        <f t="shared" si="3"/>
        <v>55.657499999999978</v>
      </c>
      <c r="K32" s="76">
        <f>IF(B32="","",LOOKUP($B32,'Cadastro de BC - Servidores'!$A$14:$U$123))</f>
        <v>0</v>
      </c>
      <c r="L32" s="76">
        <f>IF(B32="","",LOOKUP($B32,'Cadastro de BC - Servidores'!$A$14:$X$123))</f>
        <v>686.44249999999988</v>
      </c>
      <c r="M32" s="76">
        <f>SUM(K32:L32)</f>
        <v>686.44249999999988</v>
      </c>
      <c r="N32" s="76">
        <f>IF(B32="","",LOOKUP($B32,'Cadastro de BC - Servidores'!$A$14:$Z$123))</f>
        <v>0</v>
      </c>
      <c r="O32" s="76">
        <f>IF(B32="","",LOOKUP($B32,'Cadastro de BC - Servidores'!$A$14:$AA$123))</f>
        <v>0</v>
      </c>
      <c r="P32" s="76">
        <f>IF(B32="","",LOOKUP($B32,'Cadastro de BC - Servidores'!$A$14:$AB$123))</f>
        <v>0</v>
      </c>
      <c r="Q32" s="477"/>
      <c r="R32" s="76">
        <f>IF(B32="","",LOOKUP($B32,'Cadastro de BC - Servidores'!$A$14:$AC$123))</f>
        <v>0</v>
      </c>
      <c r="S32" s="76">
        <f>E32*20%</f>
        <v>148.41999999999999</v>
      </c>
      <c r="T32" s="76">
        <f t="shared" si="2"/>
        <v>7.4209999999999994</v>
      </c>
    </row>
    <row r="33" spans="2:26" x14ac:dyDescent="0.2">
      <c r="B33" s="476">
        <v>72</v>
      </c>
      <c r="C33" s="75" t="str">
        <f>IF(B33="","",LOOKUP($B33,'Cadastro de BC - Servidores'!A36:B154))</f>
        <v>Kleverton Carlos Mendonca Nascimento</v>
      </c>
      <c r="D33" s="288">
        <f>IF(B33="","",LOOKUP($B33,'Cadastro de BC - Servidores'!$A$14:$N$123))</f>
        <v>0</v>
      </c>
      <c r="E33" s="76">
        <f>IF(B33="","",LOOKUP($B33,'Cadastro de BC - Servidores'!$A$14:$O$123))</f>
        <v>2081.5</v>
      </c>
      <c r="F33" s="280">
        <f>SUM(D33:E33)</f>
        <v>2081.5</v>
      </c>
      <c r="G33" s="76">
        <f>IF(B33="","",LOOKUP($B33,'Cadastro de BC - Servidores'!$A$14:$Q$123))</f>
        <v>164.56499999999997</v>
      </c>
      <c r="H33" s="76">
        <f>IF(B33="","",LOOKUP($B33,'Cadastro de BC - Servidores'!$A$14:$R$123))</f>
        <v>0</v>
      </c>
      <c r="I33" s="76">
        <f>IF(B33="","",LOOKUP($B33,'Cadastro de BC - Servidores'!$A$14:$T$123))</f>
        <v>164.56499999999997</v>
      </c>
      <c r="J33" s="543">
        <f t="shared" si="3"/>
        <v>164.56499999999997</v>
      </c>
      <c r="K33" s="76">
        <f>IF(B33="","",LOOKUP($B33,'Cadastro de BC - Servidores'!$A$14:$U$123))</f>
        <v>0</v>
      </c>
      <c r="L33" s="76">
        <f>IF(B33="","",LOOKUP($B33,'Cadastro de BC - Servidores'!$A$14:$X$123))</f>
        <v>1916.9349999999999</v>
      </c>
      <c r="M33" s="76">
        <f>SUM(K33:L33)</f>
        <v>1916.9349999999999</v>
      </c>
      <c r="N33" s="76">
        <f>IF(B33="","",LOOKUP($B33,'Cadastro de BC - Servidores'!$A$14:$Z$123))</f>
        <v>0</v>
      </c>
      <c r="O33" s="76">
        <f>IF(B33="","",LOOKUP($B33,'Cadastro de BC - Servidores'!$A$14:$AA$123))</f>
        <v>0</v>
      </c>
      <c r="P33" s="76">
        <f>IF(B33="","",LOOKUP($B33,'Cadastro de BC - Servidores'!$A$14:$AB$123))</f>
        <v>0</v>
      </c>
      <c r="Q33" s="77"/>
      <c r="R33" s="76">
        <f>IF(B33="","",LOOKUP($B33,'Cadastro de BC - Servidores'!$A$14:$AC$123))</f>
        <v>0</v>
      </c>
      <c r="S33" s="76">
        <f>E33*20%</f>
        <v>416.3</v>
      </c>
      <c r="T33" s="76">
        <f t="shared" si="2"/>
        <v>20.815000000000001</v>
      </c>
    </row>
    <row r="34" spans="2:26" x14ac:dyDescent="0.2">
      <c r="B34" s="74">
        <v>87</v>
      </c>
      <c r="C34" s="75" t="str">
        <f>IF(B34="","",LOOKUP($B34,'Cadastro de BC - Servidores'!A34:B152))</f>
        <v>Tâmara Karoline de Oliveira Fontes</v>
      </c>
      <c r="D34" s="288">
        <f>IF(B34="","",LOOKUP($B34,'Cadastro de BC - Servidores'!$A$14:$N$123))</f>
        <v>1968.04</v>
      </c>
      <c r="E34" s="76">
        <f>IF(B34="","",LOOKUP($B34,'Cadastro de BC - Servidores'!$A$14:$O$123))</f>
        <v>1719.5</v>
      </c>
      <c r="F34" s="280">
        <f t="shared" si="0"/>
        <v>3687.54</v>
      </c>
      <c r="G34" s="76">
        <f>IF(B34="","",LOOKUP($B34,'Cadastro de BC - Servidores'!$A$14:$Q$123))</f>
        <v>335.91480000000001</v>
      </c>
      <c r="H34" s="76">
        <f>IF(B34="","",LOOKUP($B34,'Cadastro de BC - Servidores'!$A$14:$R$123))</f>
        <v>154.35359999999997</v>
      </c>
      <c r="I34" s="76">
        <f>IF(B34="","",LOOKUP($B34,'Cadastro de BC - Servidores'!$A$14:$T$123))</f>
        <v>181.56120000000004</v>
      </c>
      <c r="J34" s="543">
        <f t="shared" si="3"/>
        <v>335.91480000000001</v>
      </c>
      <c r="K34" s="76">
        <f>IF(B34="","",LOOKUP($B34,'Cadastro de BC - Servidores'!$A$14:$U$123))</f>
        <v>1813.6864</v>
      </c>
      <c r="L34" s="76">
        <f>IF(B34="","",LOOKUP($B34,'Cadastro de BC - Servidores'!$A$14:$X$123))</f>
        <v>1537.9387999999999</v>
      </c>
      <c r="M34" s="76">
        <f t="shared" si="1"/>
        <v>3351.6251999999999</v>
      </c>
      <c r="N34" s="76">
        <f>IF(B34="","",LOOKUP($B34,'Cadastro de BC - Servidores'!$A$14:$Z$123))</f>
        <v>108.58377999999993</v>
      </c>
      <c r="O34" s="76">
        <f>IF(B34="","",LOOKUP($B34,'Cadastro de BC - Servidores'!$A$14:$AA$123))</f>
        <v>0</v>
      </c>
      <c r="P34" s="76">
        <f>IF(B34="","",LOOKUP($B34,'Cadastro de BC - Servidores'!$A$14:$AB$123))</f>
        <v>108.58377999999993</v>
      </c>
      <c r="Q34" s="77"/>
      <c r="R34" s="76">
        <f>IF(B34="","",LOOKUP($B34,'Cadastro de BC - Servidores'!$A$14:$AC$123))</f>
        <v>0</v>
      </c>
      <c r="S34" s="76">
        <f t="shared" si="4"/>
        <v>343.90000000000003</v>
      </c>
      <c r="T34" s="76">
        <f t="shared" si="2"/>
        <v>17.195</v>
      </c>
      <c r="V34" s="78"/>
    </row>
    <row r="35" spans="2:26" x14ac:dyDescent="0.2">
      <c r="B35" s="74">
        <v>88</v>
      </c>
      <c r="C35" s="75" t="str">
        <f>IF(B35="","",LOOKUP($B35,'Cadastro de BC - Servidores'!A35:B153))</f>
        <v xml:space="preserve">Gabriela Gonçalves Santos de Oliveira </v>
      </c>
      <c r="D35" s="288">
        <f>IF(B35="","",LOOKUP($B35,'Cadastro de BC - Servidores'!$A$14:$N$123))</f>
        <v>1968.04</v>
      </c>
      <c r="E35" s="76">
        <f>IF(B35="","",LOOKUP($B35,'Cadastro de BC - Servidores'!$A$14:$O$123))</f>
        <v>1991.0000000000002</v>
      </c>
      <c r="F35" s="280">
        <f t="shared" si="0"/>
        <v>3959.04</v>
      </c>
      <c r="G35" s="76">
        <f>IF(B35="","",LOOKUP($B35,'Cadastro de BC - Servidores'!$A$14:$Q$123))</f>
        <v>368.49479999999994</v>
      </c>
      <c r="H35" s="76">
        <f>IF(B35="","",LOOKUP($B35,'Cadastro de BC - Servidores'!$A$14:$R$123))</f>
        <v>154.35359999999997</v>
      </c>
      <c r="I35" s="76">
        <f>IF(B35="","",LOOKUP($B35,'Cadastro de BC - Servidores'!$A$14:$T$123))</f>
        <v>214.14119999999997</v>
      </c>
      <c r="J35" s="543">
        <f t="shared" si="3"/>
        <v>368.49479999999994</v>
      </c>
      <c r="K35" s="76">
        <f>IF(B35="","",LOOKUP($B35,'Cadastro de BC - Servidores'!$A$14:$U$123))</f>
        <v>1813.6864</v>
      </c>
      <c r="L35" s="76">
        <f>IF(B35="","",LOOKUP($B35,'Cadastro de BC - Servidores'!$A$14:$X$123))</f>
        <v>1776.8588000000002</v>
      </c>
      <c r="M35" s="76">
        <f t="shared" si="1"/>
        <v>3590.5452000000005</v>
      </c>
      <c r="N35" s="76">
        <f>IF(B35="","",LOOKUP($B35,'Cadastro de BC - Servidores'!$A$14:$Z$123))</f>
        <v>144.42178000000007</v>
      </c>
      <c r="O35" s="76">
        <f>IF(B35="","",LOOKUP($B35,'Cadastro de BC - Servidores'!$A$14:$AA$123))</f>
        <v>0</v>
      </c>
      <c r="P35" s="76">
        <f>IF(B35="","",LOOKUP($B35,'Cadastro de BC - Servidores'!$A$14:$AB$123))</f>
        <v>144.42178000000007</v>
      </c>
      <c r="Q35" s="77"/>
      <c r="R35" s="76">
        <f>IF(B35="","",LOOKUP($B35,'Cadastro de BC - Servidores'!$A$14:$AC$123))</f>
        <v>0</v>
      </c>
      <c r="S35" s="76">
        <f t="shared" si="4"/>
        <v>398.20000000000005</v>
      </c>
      <c r="T35" s="76">
        <f t="shared" si="2"/>
        <v>19.910000000000004</v>
      </c>
      <c r="V35" s="78"/>
    </row>
    <row r="36" spans="2:26" x14ac:dyDescent="0.2">
      <c r="B36" s="74">
        <v>89</v>
      </c>
      <c r="C36" s="75" t="str">
        <f>IF(B36="","",LOOKUP($B36,'Cadastro de BC - Servidores'!A36:B154))</f>
        <v>Luiz Mario da Silva Junior</v>
      </c>
      <c r="D36" s="288">
        <f>IF(B36="","",LOOKUP($B36,'Cadastro de BC - Servidores'!$A$14:$N$123))</f>
        <v>12289.92</v>
      </c>
      <c r="E36" s="76">
        <f>IF(B36="","",LOOKUP($B36,'Cadastro de BC - Servidores'!$A$14:$O$123))</f>
        <v>4163</v>
      </c>
      <c r="F36" s="280">
        <f t="shared" si="0"/>
        <v>16452.919999999998</v>
      </c>
      <c r="G36" s="76">
        <f>IF(B36="","",LOOKUP($B36,'Cadastro de BC - Servidores'!$A$14:$Q$123))</f>
        <v>951.63740000000018</v>
      </c>
      <c r="H36" s="76">
        <f>IF(B36="","",LOOKUP($B36,'Cadastro de BC - Servidores'!$A$14:$R$123))</f>
        <v>951.63740000000018</v>
      </c>
      <c r="I36" s="76">
        <f>IF(B36="","",LOOKUP($B36,'Cadastro de BC - Servidores'!$A$14:$T$123))</f>
        <v>0</v>
      </c>
      <c r="J36" s="543">
        <f t="shared" si="3"/>
        <v>951.63740000000018</v>
      </c>
      <c r="K36" s="76">
        <f>IF(B36="","",LOOKUP($B36,'Cadastro de BC - Servidores'!$A$14:$U$123))</f>
        <v>11338.2826</v>
      </c>
      <c r="L36" s="76">
        <f>IF(B36="","",LOOKUP($B36,'Cadastro de BC - Servidores'!$A$14:$X$123))</f>
        <v>4163</v>
      </c>
      <c r="M36" s="76">
        <f t="shared" si="1"/>
        <v>15501.2826</v>
      </c>
      <c r="N36" s="76">
        <f>IF(B36="","",LOOKUP($B36,'Cadastro de BC - Servidores'!$A$14:$Z$123))</f>
        <v>3354.1227150000009</v>
      </c>
      <c r="O36" s="76">
        <f>IF(B36="","",LOOKUP($B36,'Cadastro de BC - Servidores'!$A$14:$AA$123))</f>
        <v>2209.2977150000002</v>
      </c>
      <c r="P36" s="76">
        <f>IF(B36="","",LOOKUP($B36,'Cadastro de BC - Servidores'!$A$14:$AB$123))</f>
        <v>1144.8250000000007</v>
      </c>
      <c r="Q36" s="77"/>
      <c r="R36" s="76">
        <f>IF(B36="","",LOOKUP($B36,'Cadastro de BC - Servidores'!$A$14:$AC$123))</f>
        <v>0</v>
      </c>
      <c r="S36" s="76">
        <f t="shared" si="4"/>
        <v>832.6</v>
      </c>
      <c r="T36" s="76">
        <f t="shared" si="2"/>
        <v>41.63</v>
      </c>
      <c r="V36" s="78"/>
    </row>
    <row r="37" spans="2:26" x14ac:dyDescent="0.2">
      <c r="B37" s="74">
        <v>92</v>
      </c>
      <c r="C37" s="75" t="str">
        <f>IF(B37="","",LOOKUP($B37,'Cadastro de BC - Servidores'!A39:B157))</f>
        <v>Eliene Andrade da Silva</v>
      </c>
      <c r="D37" s="288">
        <f>IF(B37="","",LOOKUP($B37,'Cadastro de BC - Servidores'!$A$14:$N$123))</f>
        <v>1518</v>
      </c>
      <c r="E37" s="76">
        <f>IF(B37="","",LOOKUP($B37,'Cadastro de BC - Servidores'!$A$14:$O$123))</f>
        <v>1810</v>
      </c>
      <c r="F37" s="280">
        <f t="shared" si="0"/>
        <v>3328</v>
      </c>
      <c r="G37" s="76">
        <f>IF(B37="","",LOOKUP($B37,'Cadastro de BC - Servidores'!$A$14:$Q$123))</f>
        <v>292.77</v>
      </c>
      <c r="H37" s="76">
        <f>IF(B37="","",LOOKUP($B37,'Cadastro de BC - Servidores'!$A$14:$R$123))</f>
        <v>113.84999999999998</v>
      </c>
      <c r="I37" s="76">
        <f>IF(B37="","",LOOKUP($B37,'Cadastro de BC - Servidores'!$A$14:$T$123))</f>
        <v>178.92000000000002</v>
      </c>
      <c r="J37" s="543">
        <f t="shared" si="3"/>
        <v>292.77</v>
      </c>
      <c r="K37" s="76">
        <f>IF(B37="","",LOOKUP($B37,'Cadastro de BC - Servidores'!$A$14:$U$123))</f>
        <v>1404.15</v>
      </c>
      <c r="L37" s="76">
        <f>IF(B37="","",LOOKUP($B37,'Cadastro de BC - Servidores'!$A$14:$X$123))</f>
        <v>1631.08</v>
      </c>
      <c r="M37" s="76">
        <f t="shared" si="1"/>
        <v>3035.23</v>
      </c>
      <c r="N37" s="76">
        <f>IF(B37="","",LOOKUP($B37,'Cadastro de BC - Servidores'!$A$14:$Z$123))</f>
        <v>61.124499999999955</v>
      </c>
      <c r="O37" s="76">
        <f>IF(B37="","",LOOKUP($B37,'Cadastro de BC - Servidores'!$A$14:$AA$123))</f>
        <v>0</v>
      </c>
      <c r="P37" s="76">
        <f>IF(B37="","",LOOKUP($B37,'Cadastro de BC - Servidores'!$A$14:$AB$123))</f>
        <v>61.124499999999955</v>
      </c>
      <c r="Q37" s="77"/>
      <c r="R37" s="76">
        <f>IF(B37="","",LOOKUP($B37,'Cadastro de BC - Servidores'!$A$14:$AC$123))</f>
        <v>0</v>
      </c>
      <c r="S37" s="76">
        <f t="shared" si="4"/>
        <v>362</v>
      </c>
      <c r="T37" s="76">
        <f t="shared" si="2"/>
        <v>18.100000000000001</v>
      </c>
      <c r="V37" s="78"/>
    </row>
    <row r="38" spans="2:26" x14ac:dyDescent="0.2">
      <c r="B38" s="74">
        <v>93</v>
      </c>
      <c r="C38" s="75" t="str">
        <f>IF(B38="","",LOOKUP($B38,'Cadastro de BC - Servidores'!A40:B158))</f>
        <v>Marcela Costa Ribeiro Santos</v>
      </c>
      <c r="D38" s="288">
        <f>IF(B38="","",LOOKUP($B38,'Cadastro de BC - Servidores'!$A$14:$N$123))</f>
        <v>0</v>
      </c>
      <c r="E38" s="76">
        <f>IF(B38="","",LOOKUP($B38,'Cadastro de BC - Servidores'!$A$14:$O$123))</f>
        <v>1357.5</v>
      </c>
      <c r="F38" s="280">
        <f t="shared" si="0"/>
        <v>1357.5</v>
      </c>
      <c r="G38" s="76">
        <f>IF(B38="","",LOOKUP($B38,'Cadastro de BC - Servidores'!$A$14:$Q$123))</f>
        <v>101.81249999999997</v>
      </c>
      <c r="H38" s="76">
        <f>IF(B38="","",LOOKUP($B38,'Cadastro de BC - Servidores'!$A$14:$R$123))</f>
        <v>0</v>
      </c>
      <c r="I38" s="76">
        <f>IF(B38="","",LOOKUP($B38,'Cadastro de BC - Servidores'!$A$14:$T$123))</f>
        <v>101.81249999999997</v>
      </c>
      <c r="J38" s="543">
        <f t="shared" si="3"/>
        <v>101.81249999999997</v>
      </c>
      <c r="K38" s="76">
        <f>IF(B38="","",LOOKUP($B38,'Cadastro de BC - Servidores'!$A$14:$U$123))</f>
        <v>0</v>
      </c>
      <c r="L38" s="76">
        <f>IF(B38="","",LOOKUP($B38,'Cadastro de BC - Servidores'!$A$14:$X$123))</f>
        <v>1255.6875</v>
      </c>
      <c r="M38" s="76">
        <f t="shared" si="1"/>
        <v>1255.6875</v>
      </c>
      <c r="N38" s="76">
        <f>IF(B38="","",LOOKUP($B38,'Cadastro de BC - Servidores'!$A$14:$Z$123))</f>
        <v>0</v>
      </c>
      <c r="O38" s="76">
        <f>IF(B38="","",LOOKUP($B38,'Cadastro de BC - Servidores'!$A$14:$AA$123))</f>
        <v>0</v>
      </c>
      <c r="P38" s="76">
        <f>IF(B38="","",LOOKUP($B38,'Cadastro de BC - Servidores'!$A$14:$AB$123))</f>
        <v>0</v>
      </c>
      <c r="Q38" s="77"/>
      <c r="R38" s="76">
        <f>IF(B38="","",LOOKUP($B38,'Cadastro de BC - Servidores'!$A$14:$AC$123))</f>
        <v>0</v>
      </c>
      <c r="S38" s="76">
        <f t="shared" si="4"/>
        <v>271.5</v>
      </c>
      <c r="T38" s="76">
        <f t="shared" si="2"/>
        <v>13.575000000000001</v>
      </c>
      <c r="V38" s="78"/>
    </row>
    <row r="39" spans="2:26" x14ac:dyDescent="0.2">
      <c r="B39" s="74">
        <v>95</v>
      </c>
      <c r="C39" s="75" t="str">
        <f>IF(B39="","",LOOKUP($B39,'Cadastro de BC - Servidores'!A42:B160))</f>
        <v>Manoel Lisboa Feitosa Júnior</v>
      </c>
      <c r="D39" s="288">
        <f>IF(B39="","",LOOKUP($B39,'Cadastro de BC - Servidores'!$A$14:$N$123))</f>
        <v>1518</v>
      </c>
      <c r="E39" s="76">
        <f>IF(B39="","",LOOKUP($B39,'Cadastro de BC - Servidores'!$A$14:$O$123))</f>
        <v>2081.5</v>
      </c>
      <c r="F39" s="280">
        <f t="shared" si="0"/>
        <v>3599.5</v>
      </c>
      <c r="G39" s="76">
        <f>IF(B39="","",LOOKUP($B39,'Cadastro de BC - Servidores'!$A$14:$Q$123))</f>
        <v>325.35000000000002</v>
      </c>
      <c r="H39" s="76">
        <f>IF(B39="","",LOOKUP($B39,'Cadastro de BC - Servidores'!$A$14:$R$123))</f>
        <v>113.84999999999998</v>
      </c>
      <c r="I39" s="76">
        <f>IF(B39="","",LOOKUP($B39,'Cadastro de BC - Servidores'!$A$14:$T$123))</f>
        <v>211.50000000000006</v>
      </c>
      <c r="J39" s="543">
        <f t="shared" si="3"/>
        <v>325.35000000000002</v>
      </c>
      <c r="K39" s="76">
        <f>IF(B39="","",LOOKUP($B39,'Cadastro de BC - Servidores'!$A$14:$U$123))</f>
        <v>1404.15</v>
      </c>
      <c r="L39" s="76">
        <f>IF(B39="","",LOOKUP($B39,'Cadastro de BC - Servidores'!$A$14:$X$123))</f>
        <v>1870</v>
      </c>
      <c r="M39" s="76">
        <f t="shared" si="1"/>
        <v>3274.15</v>
      </c>
      <c r="N39" s="76">
        <f>IF(B39="","",LOOKUP($B39,'Cadastro de BC - Servidores'!$A$14:$Z$123))</f>
        <v>96.962499999999977</v>
      </c>
      <c r="O39" s="76">
        <f>IF(B39="","",LOOKUP($B39,'Cadastro de BC - Servidores'!$A$14:$AA$123))</f>
        <v>0</v>
      </c>
      <c r="P39" s="76">
        <f>IF(B39="","",LOOKUP($B39,'Cadastro de BC - Servidores'!$A$14:$AB$123))</f>
        <v>96.962499999999977</v>
      </c>
      <c r="Q39" s="77"/>
      <c r="R39" s="76">
        <f>IF(B39="","",LOOKUP($B39,'Cadastro de BC - Servidores'!$A$14:$AC$123))</f>
        <v>0</v>
      </c>
      <c r="S39" s="76">
        <f t="shared" si="4"/>
        <v>416.3</v>
      </c>
      <c r="T39" s="76">
        <f t="shared" si="2"/>
        <v>20.815000000000001</v>
      </c>
      <c r="V39" s="78"/>
    </row>
    <row r="40" spans="2:26" x14ac:dyDescent="0.2">
      <c r="B40" s="74">
        <v>96</v>
      </c>
      <c r="C40" s="75" t="str">
        <f>IF(B40="","",LOOKUP($B40,'Cadastro de BC - Servidores'!A43:B161))</f>
        <v>Thaíse Michelle Menezes dos Santos</v>
      </c>
      <c r="D40" s="288">
        <f>IF(B40="","",LOOKUP($B40,'Cadastro de BC - Servidores'!$A$14:$N$123))</f>
        <v>0</v>
      </c>
      <c r="E40" s="76">
        <f>IF(B40="","",LOOKUP($B40,'Cadastro de BC - Servidores'!$A$14:$O$123))</f>
        <v>1312.25</v>
      </c>
      <c r="F40" s="280">
        <f t="shared" si="0"/>
        <v>1312.25</v>
      </c>
      <c r="G40" s="76">
        <f>IF(B40="","",LOOKUP($B40,'Cadastro de BC - Servidores'!$A$14:$Q$123))</f>
        <v>98.418749999999974</v>
      </c>
      <c r="H40" s="76">
        <f>IF(B40="","",LOOKUP($B40,'Cadastro de BC - Servidores'!$A$14:$R$123))</f>
        <v>0</v>
      </c>
      <c r="I40" s="76">
        <f>IF(B40="","",LOOKUP($B40,'Cadastro de BC - Servidores'!$A$14:$T$123))</f>
        <v>98.418749999999974</v>
      </c>
      <c r="J40" s="543">
        <f t="shared" si="3"/>
        <v>98.418749999999974</v>
      </c>
      <c r="K40" s="76">
        <f>IF(B40="","",LOOKUP($B40,'Cadastro de BC - Servidores'!$A$14:$U$123))</f>
        <v>0</v>
      </c>
      <c r="L40" s="76">
        <f>IF(B40="","",LOOKUP($B40,'Cadastro de BC - Servidores'!$A$14:$X$123))</f>
        <v>1213.83125</v>
      </c>
      <c r="M40" s="76">
        <f>SUM(K40:L40)</f>
        <v>1213.83125</v>
      </c>
      <c r="N40" s="76">
        <f>IF(B40="","",LOOKUP($B40,'Cadastro de BC - Servidores'!$A$14:$Z$123))</f>
        <v>0</v>
      </c>
      <c r="O40" s="76">
        <f>IF(B40="","",LOOKUP($B40,'Cadastro de BC - Servidores'!$A$14:$AA$123))</f>
        <v>0</v>
      </c>
      <c r="P40" s="76">
        <f>IF(B40="","",LOOKUP($B40,'Cadastro de BC - Servidores'!$A$14:$AB$123))</f>
        <v>0</v>
      </c>
      <c r="Q40" s="77"/>
      <c r="R40" s="76">
        <f>IF(B40="","",LOOKUP($B40,'Cadastro de BC - Servidores'!$A$14:$AC$123))</f>
        <v>0</v>
      </c>
      <c r="S40" s="76">
        <f t="shared" si="4"/>
        <v>262.45</v>
      </c>
      <c r="T40" s="76">
        <f t="shared" si="2"/>
        <v>13.1225</v>
      </c>
      <c r="V40" s="78"/>
      <c r="X40" s="87"/>
    </row>
    <row r="41" spans="2:26" x14ac:dyDescent="0.2">
      <c r="B41" s="74">
        <v>97</v>
      </c>
      <c r="C41" s="75" t="str">
        <f>IF(B41="","",LOOKUP($B41,'Cadastro de BC - Servidores'!A44:B162))</f>
        <v>Vinicius Deda Menezes</v>
      </c>
      <c r="D41" s="288">
        <f>IF(B41="","",LOOKUP($B41,'Cadastro de BC - Servidores'!$A$14:$N$123))</f>
        <v>1518</v>
      </c>
      <c r="E41" s="76">
        <f>IF(B41="","",LOOKUP($B41,'Cadastro de BC - Servidores'!$A$14:$O$123))</f>
        <v>1176.5</v>
      </c>
      <c r="F41" s="280">
        <f t="shared" si="0"/>
        <v>2694.5</v>
      </c>
      <c r="G41" s="76">
        <f>IF(B41="","",LOOKUP($B41,'Cadastro de BC - Servidores'!$A$14:$Q$123))</f>
        <v>219.73499999999999</v>
      </c>
      <c r="H41" s="76">
        <f>IF(B41="","",LOOKUP($B41,'Cadastro de BC - Servidores'!$A$14:$R$123))</f>
        <v>113.84999999999998</v>
      </c>
      <c r="I41" s="76">
        <f>IF(B41="","",LOOKUP($B41,'Cadastro de BC - Servidores'!$A$14:$T$123))</f>
        <v>105.88500000000001</v>
      </c>
      <c r="J41" s="543">
        <f t="shared" si="3"/>
        <v>219.73499999999999</v>
      </c>
      <c r="K41" s="76">
        <f>IF(B41="","",LOOKUP($B41,'Cadastro de BC - Servidores'!$A$14:$U$123))</f>
        <v>1404.15</v>
      </c>
      <c r="L41" s="76">
        <f>IF(B41="","",LOOKUP($B41,'Cadastro de BC - Servidores'!$A$14:$X$123))</f>
        <v>1070.615</v>
      </c>
      <c r="M41" s="76">
        <f t="shared" si="1"/>
        <v>2474.7650000000003</v>
      </c>
      <c r="N41" s="76">
        <f>IF(B41="","",LOOKUP($B41,'Cadastro de BC - Servidores'!$A$14:$Z$123))</f>
        <v>3.4473749999999939</v>
      </c>
      <c r="O41" s="76">
        <f>IF(B41="","",LOOKUP($B41,'Cadastro de BC - Servidores'!$A$14:$AA$123))</f>
        <v>0</v>
      </c>
      <c r="P41" s="76">
        <f>IF(B41="","",LOOKUP($B41,'Cadastro de BC - Servidores'!$A$14:$AB$123))</f>
        <v>3.4473749999999939</v>
      </c>
      <c r="Q41" s="77"/>
      <c r="R41" s="76">
        <f>IF(B41="","",LOOKUP($B41,'Cadastro de BC - Servidores'!$A$14:$AC$123))</f>
        <v>0</v>
      </c>
      <c r="S41" s="76">
        <f t="shared" si="4"/>
        <v>235.3</v>
      </c>
      <c r="T41" s="76">
        <f t="shared" si="2"/>
        <v>11.765000000000001</v>
      </c>
      <c r="V41" s="78"/>
      <c r="X41" s="87"/>
    </row>
    <row r="42" spans="2:26" ht="15" x14ac:dyDescent="0.25">
      <c r="B42" s="74">
        <v>98</v>
      </c>
      <c r="C42" s="75" t="str">
        <f>IF(B42="","",LOOKUP($B42,'Cadastro de BC - Servidores'!A45:B163))</f>
        <v>Natali Leite dos Santos</v>
      </c>
      <c r="D42" s="288">
        <f>IF(B42="","",LOOKUP($B42,'Cadastro de BC - Servidores'!$A$14:$N$123))</f>
        <v>1518</v>
      </c>
      <c r="E42" s="76">
        <f>IF(B42="","",LOOKUP($B42,'Cadastro de BC - Servidores'!$A$14:$O$123))</f>
        <v>1448</v>
      </c>
      <c r="F42" s="280">
        <f t="shared" si="0"/>
        <v>2966</v>
      </c>
      <c r="G42" s="76">
        <f>IF(B42="","",LOOKUP($B42,'Cadastro de BC - Servidores'!$A$14:$Q$123))</f>
        <v>249.32999999999996</v>
      </c>
      <c r="H42" s="76">
        <f>IF(B42="","",LOOKUP($B42,'Cadastro de BC - Servidores'!$A$14:$R$123))</f>
        <v>113.84999999999998</v>
      </c>
      <c r="I42" s="76">
        <f>IF(B42="","",LOOKUP($B42,'Cadastro de BC - Servidores'!$A$14:$T$123))</f>
        <v>135.47999999999996</v>
      </c>
      <c r="J42" s="543">
        <f t="shared" si="3"/>
        <v>249.32999999999993</v>
      </c>
      <c r="K42" s="76">
        <f>IF(B42="","",LOOKUP($B42,'Cadastro de BC - Servidores'!$A$14:$U$123))</f>
        <v>1490.81</v>
      </c>
      <c r="L42" s="76">
        <f>IF(B42="","",LOOKUP($B42,'Cadastro de BC - Servidores'!$A$14:$X$123))</f>
        <v>1312.52</v>
      </c>
      <c r="M42" s="76">
        <f t="shared" si="1"/>
        <v>2803.33</v>
      </c>
      <c r="N42" s="76">
        <f>IF(B42="","",LOOKUP($B42,'Cadastro de BC - Servidores'!$A$14:$Z$123))</f>
        <v>28.089749999999952</v>
      </c>
      <c r="O42" s="76">
        <f>IF(B42="","",LOOKUP($B42,'Cadastro de BC - Servidores'!$A$14:$AA$123))</f>
        <v>0</v>
      </c>
      <c r="P42" s="76">
        <f>IF(B42="","",LOOKUP($B42,'Cadastro de BC - Servidores'!$A$14:$AB$123))</f>
        <v>28.089749999999952</v>
      </c>
      <c r="Q42" s="77"/>
      <c r="R42" s="76">
        <f>IF(B42="","",LOOKUP($B42,'Cadastro de BC - Servidores'!$A$14:$AC$123))</f>
        <v>0</v>
      </c>
      <c r="S42" s="76">
        <f t="shared" si="4"/>
        <v>289.60000000000002</v>
      </c>
      <c r="T42" s="76">
        <f t="shared" si="2"/>
        <v>14.48</v>
      </c>
      <c r="V42" s="78"/>
      <c r="X42" s="87"/>
      <c r="Y42" s="79"/>
      <c r="Z42" s="79"/>
    </row>
    <row r="43" spans="2:26" ht="15" x14ac:dyDescent="0.25">
      <c r="B43" s="74">
        <v>99</v>
      </c>
      <c r="C43" s="75" t="str">
        <f>IF(B43="","",LOOKUP($B43,'Cadastro de BC - Servidores'!A46:B164))</f>
        <v>Ana Carolina Cardoso da Mota</v>
      </c>
      <c r="D43" s="288">
        <f>IF(B43="","",LOOKUP($B43,'Cadastro de BC - Servidores'!$A$14:$N$123))</f>
        <v>2024</v>
      </c>
      <c r="E43" s="76">
        <f>IF(B43="","",LOOKUP($B43,'Cadastro de BC - Servidores'!$A$14:$O$123))</f>
        <v>1991.0000000000002</v>
      </c>
      <c r="F43" s="280">
        <f t="shared" si="0"/>
        <v>4015</v>
      </c>
      <c r="G43" s="76">
        <f>IF(B43="","",LOOKUP($B43,'Cadastro de BC - Servidores'!$A$14:$Q$123))</f>
        <v>375.20999999999992</v>
      </c>
      <c r="H43" s="76">
        <f>IF(B43="","",LOOKUP($B43,'Cadastro de BC - Servidores'!$A$14:$R$123))</f>
        <v>159.38999999999999</v>
      </c>
      <c r="I43" s="76">
        <f>IF(B43="","",LOOKUP($B43,'Cadastro de BC - Servidores'!$A$14:$T$123))</f>
        <v>215.81999999999994</v>
      </c>
      <c r="J43" s="543">
        <f t="shared" si="3"/>
        <v>375.20999999999992</v>
      </c>
      <c r="K43" s="76">
        <f>IF(B43="","",LOOKUP($B43,'Cadastro de BC - Servidores'!$A$14:$U$123))</f>
        <v>1864.6100000000001</v>
      </c>
      <c r="L43" s="76">
        <f>IF(B43="","",LOOKUP($B43,'Cadastro de BC - Servidores'!$A$14:$X$123))</f>
        <v>1775.1800000000003</v>
      </c>
      <c r="M43" s="76">
        <f t="shared" si="1"/>
        <v>3639.7900000000004</v>
      </c>
      <c r="N43" s="76">
        <f>IF(B43="","",LOOKUP($B43,'Cadastro de BC - Servidores'!$A$14:$Z$123))</f>
        <v>151.80850000000004</v>
      </c>
      <c r="O43" s="76">
        <f>IF(B43="","",LOOKUP($B43,'Cadastro de BC - Servidores'!$A$14:$AA$123))</f>
        <v>0</v>
      </c>
      <c r="P43" s="76">
        <f>IF(B43="","",LOOKUP($B43,'Cadastro de BC - Servidores'!$A$14:$AB$123))</f>
        <v>151.80850000000004</v>
      </c>
      <c r="Q43" s="77"/>
      <c r="R43" s="76">
        <f>IF(B43="","",LOOKUP($B43,'Cadastro de BC - Servidores'!$A$14:$AC$123))</f>
        <v>0</v>
      </c>
      <c r="S43" s="76">
        <f t="shared" si="4"/>
        <v>398.20000000000005</v>
      </c>
      <c r="T43" s="76">
        <f t="shared" si="2"/>
        <v>19.910000000000004</v>
      </c>
      <c r="V43" s="78"/>
      <c r="X43" s="87"/>
      <c r="Y43" s="79"/>
      <c r="Z43" s="79"/>
    </row>
    <row r="44" spans="2:26" ht="15" x14ac:dyDescent="0.25">
      <c r="B44" s="74">
        <v>100</v>
      </c>
      <c r="C44" s="75" t="str">
        <f>IF(B44="","",LOOKUP($B44,'Cadastro de BC - Servidores'!A47:B165))</f>
        <v>Polyana Souza da Silva</v>
      </c>
      <c r="D44" s="288">
        <f>IF(B44="","",LOOKUP($B44,'Cadastro de BC - Servidores'!$A$14:$N$123))</f>
        <v>1518</v>
      </c>
      <c r="E44" s="76">
        <f>IF(B44="","",LOOKUP($B44,'Cadastro de BC - Servidores'!$A$14:$O$123))</f>
        <v>1176.5</v>
      </c>
      <c r="F44" s="280">
        <f t="shared" si="0"/>
        <v>2694.5</v>
      </c>
      <c r="G44" s="76">
        <f>IF(B44="","",LOOKUP($B44,'Cadastro de BC - Servidores'!$A$14:$Q$123))</f>
        <v>219.73499999999999</v>
      </c>
      <c r="H44" s="76">
        <f>IF(B44="","",LOOKUP($B44,'Cadastro de BC - Servidores'!$A$14:$R$123))</f>
        <v>113.84999999999998</v>
      </c>
      <c r="I44" s="76">
        <f>IF(B44="","",LOOKUP($B44,'Cadastro de BC - Servidores'!$A$14:$T$123))</f>
        <v>105.88500000000001</v>
      </c>
      <c r="J44" s="543">
        <f t="shared" si="3"/>
        <v>219.73499999999999</v>
      </c>
      <c r="K44" s="76">
        <f>IF(B44="","",LOOKUP($B44,'Cadastro de BC - Servidores'!$A$14:$U$123))</f>
        <v>1404.15</v>
      </c>
      <c r="L44" s="76">
        <f>IF(B44="","",LOOKUP($B44,'Cadastro de BC - Servidores'!$A$14:$X$123))</f>
        <v>1070.615</v>
      </c>
      <c r="M44" s="76">
        <f t="shared" si="1"/>
        <v>2474.7650000000003</v>
      </c>
      <c r="N44" s="76">
        <f>IF(B44="","",LOOKUP($B44,'Cadastro de BC - Servidores'!$A$14:$Z$123))</f>
        <v>3.4473749999999939</v>
      </c>
      <c r="O44" s="76">
        <f>IF(B44="","",LOOKUP($B44,'Cadastro de BC - Servidores'!$A$14:$AA$123))</f>
        <v>0</v>
      </c>
      <c r="P44" s="76">
        <f>IF(B44="","",LOOKUP($B44,'Cadastro de BC - Servidores'!$A$14:$AB$123))</f>
        <v>3.4473749999999939</v>
      </c>
      <c r="Q44" s="77"/>
      <c r="R44" s="76">
        <f>IF(B44="","",LOOKUP($B44,'Cadastro de BC - Servidores'!$A$14:$AC$123))</f>
        <v>0</v>
      </c>
      <c r="S44" s="76">
        <f>E44*20%</f>
        <v>235.3</v>
      </c>
      <c r="T44" s="76">
        <f t="shared" si="2"/>
        <v>11.765000000000001</v>
      </c>
      <c r="V44" s="78"/>
      <c r="X44" s="87"/>
      <c r="Y44" s="79"/>
      <c r="Z44" s="79"/>
    </row>
    <row r="45" spans="2:26" ht="15" x14ac:dyDescent="0.25">
      <c r="J45" s="78">
        <f>SUM(J4:J44)</f>
        <v>10835.557050000003</v>
      </c>
      <c r="X45" s="87"/>
      <c r="Y45" s="79"/>
      <c r="Z45" s="79"/>
    </row>
    <row r="46" spans="2:26" s="81" customFormat="1" ht="15" x14ac:dyDescent="0.25">
      <c r="B46" s="648" t="s">
        <v>457</v>
      </c>
      <c r="C46" s="649"/>
      <c r="D46" s="80">
        <f t="shared" ref="D46:S46" si="16">SUM(D4:D44)</f>
        <v>55605.36</v>
      </c>
      <c r="E46" s="80">
        <f t="shared" si="16"/>
        <v>73205.45</v>
      </c>
      <c r="F46" s="80">
        <f t="shared" si="16"/>
        <v>128810.80999999998</v>
      </c>
      <c r="G46" s="80">
        <f t="shared" si="16"/>
        <v>10835.557050000003</v>
      </c>
      <c r="H46" s="80">
        <f t="shared" si="16"/>
        <v>4268.9083999999993</v>
      </c>
      <c r="I46" s="80">
        <f t="shared" si="16"/>
        <v>6566.6486500000001</v>
      </c>
      <c r="J46" s="544"/>
      <c r="K46" s="80">
        <f t="shared" si="16"/>
        <v>51423.111600000011</v>
      </c>
      <c r="L46" s="80">
        <f t="shared" si="16"/>
        <v>66638.80134999998</v>
      </c>
      <c r="M46" s="80">
        <f t="shared" si="16"/>
        <v>118061.91294999997</v>
      </c>
      <c r="N46" s="80">
        <f t="shared" si="16"/>
        <v>5962.0322800000004</v>
      </c>
      <c r="O46" s="80">
        <f t="shared" si="16"/>
        <v>2247.9003750000002</v>
      </c>
      <c r="P46" s="80">
        <f t="shared" si="16"/>
        <v>3714.1319050000011</v>
      </c>
      <c r="Q46" s="80">
        <f t="shared" si="16"/>
        <v>0</v>
      </c>
      <c r="R46" s="80">
        <f t="shared" si="16"/>
        <v>0</v>
      </c>
      <c r="S46" s="80">
        <f t="shared" si="16"/>
        <v>14641.089999999998</v>
      </c>
      <c r="T46" s="80">
        <f>SUM(T4:T44)</f>
        <v>732.05449999999996</v>
      </c>
      <c r="X46" s="88"/>
      <c r="Y46" s="82"/>
      <c r="Z46" s="82"/>
    </row>
    <row r="47" spans="2:26" ht="15" x14ac:dyDescent="0.25">
      <c r="B47" s="650" t="s">
        <v>511</v>
      </c>
      <c r="C47" s="651"/>
      <c r="D47" s="651"/>
      <c r="E47" s="651"/>
      <c r="F47" s="651"/>
      <c r="G47" s="651"/>
      <c r="H47" s="651"/>
      <c r="I47" s="651"/>
      <c r="J47" s="652"/>
      <c r="K47" s="651"/>
      <c r="L47" s="651"/>
      <c r="M47" s="651"/>
      <c r="N47" s="651"/>
      <c r="O47" s="651"/>
      <c r="P47" s="651"/>
      <c r="Q47" s="83"/>
      <c r="R47" s="653">
        <f>P46</f>
        <v>3714.1319050000011</v>
      </c>
      <c r="S47" s="653"/>
      <c r="T47" s="654"/>
      <c r="X47" s="87"/>
      <c r="Y47" s="79"/>
      <c r="Z47" s="79"/>
    </row>
    <row r="48" spans="2:26" ht="15" x14ac:dyDescent="0.25">
      <c r="B48" s="650" t="s">
        <v>512</v>
      </c>
      <c r="C48" s="651"/>
      <c r="D48" s="651"/>
      <c r="E48" s="651"/>
      <c r="F48" s="651"/>
      <c r="G48" s="651"/>
      <c r="H48" s="651"/>
      <c r="I48" s="651"/>
      <c r="J48" s="652"/>
      <c r="K48" s="651"/>
      <c r="L48" s="651"/>
      <c r="M48" s="651"/>
      <c r="N48" s="651"/>
      <c r="O48" s="651"/>
      <c r="P48" s="651"/>
      <c r="Q48" s="83"/>
      <c r="R48" s="653">
        <f>I46</f>
        <v>6566.6486500000001</v>
      </c>
      <c r="S48" s="653"/>
      <c r="T48" s="654"/>
      <c r="X48" s="87"/>
      <c r="Y48" s="79"/>
      <c r="Z48" s="79"/>
    </row>
    <row r="49" spans="1:26" ht="15" x14ac:dyDescent="0.25">
      <c r="B49" s="650" t="s">
        <v>513</v>
      </c>
      <c r="C49" s="651"/>
      <c r="D49" s="651"/>
      <c r="E49" s="651"/>
      <c r="F49" s="651"/>
      <c r="G49" s="651"/>
      <c r="H49" s="651"/>
      <c r="I49" s="651"/>
      <c r="J49" s="652"/>
      <c r="K49" s="651"/>
      <c r="L49" s="651"/>
      <c r="M49" s="651"/>
      <c r="N49" s="651"/>
      <c r="O49" s="651"/>
      <c r="P49" s="651"/>
      <c r="Q49" s="83"/>
      <c r="R49" s="653">
        <f>S46</f>
        <v>14641.089999999998</v>
      </c>
      <c r="S49" s="653"/>
      <c r="T49" s="654"/>
      <c r="X49" s="89">
        <f>R49+R50</f>
        <v>15373.144499999999</v>
      </c>
      <c r="Y49" s="79"/>
      <c r="Z49" s="79"/>
    </row>
    <row r="50" spans="1:26" ht="15" x14ac:dyDescent="0.25">
      <c r="B50" s="650" t="s">
        <v>514</v>
      </c>
      <c r="C50" s="651"/>
      <c r="D50" s="651"/>
      <c r="E50" s="651"/>
      <c r="F50" s="651"/>
      <c r="G50" s="651"/>
      <c r="H50" s="651"/>
      <c r="I50" s="651"/>
      <c r="J50" s="652"/>
      <c r="K50" s="651"/>
      <c r="L50" s="651"/>
      <c r="M50" s="651"/>
      <c r="N50" s="651"/>
      <c r="O50" s="651"/>
      <c r="P50" s="651"/>
      <c r="Q50" s="83"/>
      <c r="R50" s="653">
        <f>T46</f>
        <v>732.05449999999996</v>
      </c>
      <c r="S50" s="653"/>
      <c r="T50" s="654"/>
      <c r="X50" s="87"/>
      <c r="Y50" s="79"/>
      <c r="Z50" s="79"/>
    </row>
    <row r="51" spans="1:26" ht="15" x14ac:dyDescent="0.25">
      <c r="B51" s="650" t="s">
        <v>515</v>
      </c>
      <c r="C51" s="651"/>
      <c r="D51" s="651"/>
      <c r="E51" s="651"/>
      <c r="F51" s="651"/>
      <c r="G51" s="651"/>
      <c r="H51" s="651"/>
      <c r="I51" s="651"/>
      <c r="J51" s="652"/>
      <c r="K51" s="651"/>
      <c r="L51" s="651"/>
      <c r="M51" s="651"/>
      <c r="N51" s="651"/>
      <c r="O51" s="651"/>
      <c r="P51" s="651"/>
      <c r="Q51" s="83"/>
      <c r="R51" s="653">
        <f>(R48+R49+R50)</f>
        <v>21939.793149999998</v>
      </c>
      <c r="S51" s="653"/>
      <c r="T51" s="654"/>
      <c r="X51" s="87"/>
      <c r="Y51" s="79"/>
      <c r="Z51" s="79"/>
    </row>
    <row r="52" spans="1:26" ht="15" x14ac:dyDescent="0.25">
      <c r="B52" s="19"/>
      <c r="C52" s="19"/>
      <c r="D52" s="19"/>
      <c r="E52" s="19"/>
      <c r="F52" s="283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X52" s="87"/>
      <c r="Y52" s="79"/>
      <c r="Z52" s="79"/>
    </row>
    <row r="53" spans="1:26" x14ac:dyDescent="0.2">
      <c r="B53" s="19"/>
      <c r="C53" s="19"/>
      <c r="D53" s="19"/>
      <c r="E53" s="19"/>
      <c r="F53" s="283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X53" s="87"/>
    </row>
    <row r="54" spans="1:26" x14ac:dyDescent="0.2">
      <c r="B54" s="19"/>
      <c r="C54" s="19"/>
      <c r="D54" s="19"/>
      <c r="E54" s="19"/>
      <c r="F54" s="283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V54" s="78">
        <f>R49+R50</f>
        <v>15373.144499999999</v>
      </c>
      <c r="X54" s="87"/>
    </row>
    <row r="55" spans="1:26" x14ac:dyDescent="0.2">
      <c r="B55" s="19"/>
      <c r="C55" s="19"/>
      <c r="D55" s="19"/>
      <c r="E55" s="19"/>
      <c r="F55" s="283"/>
      <c r="G55" s="281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 t="s">
        <v>516</v>
      </c>
      <c r="T55" s="19"/>
    </row>
    <row r="56" spans="1:26" x14ac:dyDescent="0.2">
      <c r="G56" s="78"/>
    </row>
    <row r="57" spans="1:26" x14ac:dyDescent="0.2">
      <c r="A57" s="69" t="s">
        <v>552</v>
      </c>
      <c r="G57" s="78"/>
    </row>
    <row r="58" spans="1:26" x14ac:dyDescent="0.2">
      <c r="G58" s="78"/>
    </row>
    <row r="59" spans="1:26" x14ac:dyDescent="0.2">
      <c r="G59" s="78"/>
    </row>
    <row r="60" spans="1:26" x14ac:dyDescent="0.2">
      <c r="S60" s="78"/>
    </row>
  </sheetData>
  <mergeCells count="28">
    <mergeCell ref="R51:T51"/>
    <mergeCell ref="B48:P48"/>
    <mergeCell ref="R48:T48"/>
    <mergeCell ref="B49:P49"/>
    <mergeCell ref="R49:T49"/>
    <mergeCell ref="B50:P50"/>
    <mergeCell ref="R50:T50"/>
    <mergeCell ref="C1:C2"/>
    <mergeCell ref="D1:D2"/>
    <mergeCell ref="E1:E2"/>
    <mergeCell ref="B51:P51"/>
    <mergeCell ref="F1:F2"/>
    <mergeCell ref="S1:S2"/>
    <mergeCell ref="T1:T2"/>
    <mergeCell ref="B46:C46"/>
    <mergeCell ref="B47:P47"/>
    <mergeCell ref="R47:T47"/>
    <mergeCell ref="M1:M2"/>
    <mergeCell ref="N1:N2"/>
    <mergeCell ref="O1:O2"/>
    <mergeCell ref="P1:P2"/>
    <mergeCell ref="Q1:Q2"/>
    <mergeCell ref="G1:G2"/>
    <mergeCell ref="H1:H2"/>
    <mergeCell ref="I1:I2"/>
    <mergeCell ref="K1:K2"/>
    <mergeCell ref="L1:L2"/>
    <mergeCell ref="B1:B2"/>
  </mergeCells>
  <pageMargins left="0.157639" right="0.157639" top="0.19652800000000001" bottom="0.19652800000000001" header="0.51180599999999998" footer="0.51180599999999998"/>
  <pageSetup paperSize="9" scale="4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18"/>
  <sheetViews>
    <sheetView showGridLines="0" zoomScale="80" workbookViewId="0">
      <selection activeCell="P59" sqref="P59"/>
    </sheetView>
  </sheetViews>
  <sheetFormatPr defaultRowHeight="12.75" x14ac:dyDescent="0.2"/>
  <cols>
    <col min="1" max="1" width="9.140625" style="6"/>
    <col min="2" max="2" width="69.42578125" style="6" customWidth="1"/>
    <col min="3" max="3" width="11.42578125" style="7" customWidth="1"/>
    <col min="4" max="16384" width="9.140625" style="6"/>
  </cols>
  <sheetData>
    <row r="4" spans="2:9" ht="15.75" x14ac:dyDescent="0.25">
      <c r="B4" s="8" t="s">
        <v>517</v>
      </c>
      <c r="C4" s="9" t="e">
        <f>SUM(C5:C7)</f>
        <v>#REF!</v>
      </c>
    </row>
    <row r="5" spans="2:9" x14ac:dyDescent="0.2">
      <c r="B5" s="7" t="s">
        <v>518</v>
      </c>
      <c r="C5" s="10"/>
    </row>
    <row r="6" spans="2:9" x14ac:dyDescent="0.2">
      <c r="B6" s="7" t="s">
        <v>519</v>
      </c>
      <c r="C6" s="11" t="e">
        <f>#REF!</f>
        <v>#REF!</v>
      </c>
      <c r="D6" s="12"/>
    </row>
    <row r="7" spans="2:9" x14ac:dyDescent="0.2">
      <c r="B7" s="7" t="s">
        <v>520</v>
      </c>
      <c r="C7" s="10"/>
    </row>
    <row r="9" spans="2:9" x14ac:dyDescent="0.2">
      <c r="B9" s="658" t="s">
        <v>521</v>
      </c>
      <c r="C9" s="658"/>
    </row>
    <row r="10" spans="2:9" x14ac:dyDescent="0.2">
      <c r="B10" s="7" t="s">
        <v>522</v>
      </c>
      <c r="C10" s="10"/>
      <c r="I10" s="13"/>
    </row>
    <row r="11" spans="2:9" x14ac:dyDescent="0.2">
      <c r="B11" s="7" t="s">
        <v>523</v>
      </c>
      <c r="C11" s="11" t="e">
        <f>#REF!</f>
        <v>#REF!</v>
      </c>
      <c r="I11" s="14"/>
    </row>
    <row r="12" spans="2:9" ht="15.75" x14ac:dyDescent="0.25">
      <c r="B12" s="7" t="s">
        <v>524</v>
      </c>
      <c r="C12" s="15">
        <f>SUM(C10)</f>
        <v>0</v>
      </c>
    </row>
    <row r="15" spans="2:9" x14ac:dyDescent="0.2">
      <c r="B15" s="658" t="s">
        <v>525</v>
      </c>
      <c r="C15" s="658"/>
    </row>
    <row r="16" spans="2:9" x14ac:dyDescent="0.2">
      <c r="B16" s="7" t="s">
        <v>526</v>
      </c>
      <c r="C16" s="10"/>
    </row>
    <row r="17" spans="2:3" x14ac:dyDescent="0.2">
      <c r="B17" s="7" t="s">
        <v>527</v>
      </c>
      <c r="C17" s="11" t="e">
        <f>#REF!</f>
        <v>#REF!</v>
      </c>
    </row>
    <row r="18" spans="2:3" ht="15.75" x14ac:dyDescent="0.25">
      <c r="B18" s="7" t="s">
        <v>528</v>
      </c>
      <c r="C18" s="15" t="e">
        <f>SUM(C16:C17)</f>
        <v>#REF!</v>
      </c>
    </row>
  </sheetData>
  <sheetProtection password="AB51" sheet="1" autoFilter="0"/>
  <mergeCells count="2">
    <mergeCell ref="B9:C9"/>
    <mergeCell ref="B15:C15"/>
  </mergeCells>
  <pageMargins left="0.74791700000000005" right="0.74791700000000005" top="0.98402800000000001" bottom="0.98402800000000001" header="0.51180599999999998" footer="0.51180599999999998"/>
  <pageSetup paperSize="9" fitToWidth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2</vt:i4>
      </vt:variant>
    </vt:vector>
  </HeadingPairs>
  <TitlesOfParts>
    <vt:vector size="11" baseType="lpstr">
      <vt:lpstr>Cadastro - Receitas</vt:lpstr>
      <vt:lpstr>Cadastro de BC - Servidores</vt:lpstr>
      <vt:lpstr>RESUMO-CONTROLE INTERNO</vt:lpstr>
      <vt:lpstr>Folha Efetivos</vt:lpstr>
      <vt:lpstr>Folha Cedidos</vt:lpstr>
      <vt:lpstr>Folha Comissionados</vt:lpstr>
      <vt:lpstr>Tabelas INSS e IR</vt:lpstr>
      <vt:lpstr>Resumo de INSS para a GECONF</vt:lpstr>
      <vt:lpstr>SEFIP X PLANILHA</vt:lpstr>
      <vt:lpstr>'Folha Cedidos'!Area_de_impressao</vt:lpstr>
      <vt:lpstr>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Wando Ribeiro dos Santos</dc:creator>
  <cp:lastModifiedBy>Polyana Souza da Silva</cp:lastModifiedBy>
  <cp:revision>0</cp:revision>
  <cp:lastPrinted>2025-08-18T11:47:49Z</cp:lastPrinted>
  <dcterms:created xsi:type="dcterms:W3CDTF">2014-11-03T12:15:16Z</dcterms:created>
  <dcterms:modified xsi:type="dcterms:W3CDTF">2025-08-18T11:47:53Z</dcterms:modified>
</cp:coreProperties>
</file>